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per\Google Drive\CeresWater\Version 2\"/>
    </mc:Choice>
  </mc:AlternateContent>
  <xr:revisionPtr revIDLastSave="0" documentId="13_ncr:1_{4ABEFE6F-951E-4553-8512-4FE3BDCA97E0}" xr6:coauthVersionLast="45" xr6:coauthVersionMax="45" xr10:uidLastSave="{00000000-0000-0000-0000-000000000000}"/>
  <bookViews>
    <workbookView xWindow="-21270" yWindow="2835" windowWidth="12015" windowHeight="10095" tabRatio="745" firstSheet="1" activeTab="2" xr2:uid="{00000000-000D-0000-FFFF-FFFF00000000}"/>
  </bookViews>
  <sheets>
    <sheet name="Hoja de Cocción" sheetId="9" r:id="rId1"/>
    <sheet name="Informe" sheetId="10" r:id="rId2"/>
    <sheet name="Receta" sheetId="6" r:id="rId3"/>
    <sheet name="Informe Agua" sheetId="12" r:id="rId4"/>
    <sheet name="Agua de Lavado" sheetId="17" r:id="rId5"/>
    <sheet name="Modificacion Agua" sheetId="13" r:id="rId6"/>
    <sheet name="Informe Modf. Agua" sheetId="24" r:id="rId7"/>
    <sheet name="Gráfico" sheetId="22" r:id="rId8"/>
    <sheet name="Aguas del Mundo" sheetId="14" r:id="rId9"/>
    <sheet name="Maltas y Lúpulos" sheetId="18" r:id="rId10"/>
  </sheets>
  <definedNames>
    <definedName name="_xlnm._FilterDatabase" localSheetId="8" hidden="1">'Aguas del Mundo'!$B$1:$N$47</definedName>
    <definedName name="_xlnm._FilterDatabase" localSheetId="2" hidden="1">Receta!$A$15:$H$31</definedName>
    <definedName name="_xlnm.Print_Area" localSheetId="4">'Agua de Lavado'!$A$1:$G$38</definedName>
    <definedName name="_xlnm.Print_Area" localSheetId="7">Gráfico!$A$1:$J$27</definedName>
    <definedName name="_xlnm.Print_Area" localSheetId="0">'Hoja de Cocción'!$A$1:$G$34</definedName>
    <definedName name="_xlnm.Print_Area" localSheetId="1">Informe!$A$1:$G$49</definedName>
    <definedName name="_xlnm.Print_Area" localSheetId="3">'Informe Agua'!$A$1:$I$43</definedName>
    <definedName name="_xlnm.Print_Area" localSheetId="6">'Informe Modf. Agua'!$A$1:$G$35</definedName>
    <definedName name="_xlnm.Print_Area" localSheetId="2">Receta!$A$1:$H$88</definedName>
    <definedName name="listaagua">tbaguas[Perfil de Agua]</definedName>
    <definedName name="listdil">tbdilucion[Perfil de Agua]</definedName>
    <definedName name="listlupulo">tblupulos[Variedad]</definedName>
    <definedName name="Malta">tbMaltas[Malta]</definedName>
    <definedName name="table">'Agua de Lavado'!$A$49:$U$57</definedName>
    <definedName name="threshold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6" i="13" l="1"/>
  <c r="J17" i="6" l="1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16" i="6"/>
  <c r="K34" i="17" l="1"/>
  <c r="M34" i="17" s="1"/>
  <c r="I17" i="6" l="1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16" i="6"/>
  <c r="H16" i="6" s="1"/>
  <c r="D14" i="17" l="1"/>
  <c r="A6" i="24" l="1"/>
  <c r="F35" i="24"/>
  <c r="B35" i="24"/>
  <c r="A35" i="24"/>
  <c r="F34" i="24"/>
  <c r="B34" i="24"/>
  <c r="A34" i="24"/>
  <c r="F33" i="24"/>
  <c r="B33" i="24"/>
  <c r="A33" i="24"/>
  <c r="F32" i="24"/>
  <c r="B32" i="24"/>
  <c r="A32" i="24"/>
  <c r="C30" i="24"/>
  <c r="C29" i="24"/>
  <c r="C28" i="24"/>
  <c r="C27" i="24"/>
  <c r="C26" i="24"/>
  <c r="C25" i="24"/>
  <c r="C24" i="24"/>
  <c r="C23" i="24"/>
  <c r="E21" i="24"/>
  <c r="D21" i="24" s="1"/>
  <c r="B21" i="24"/>
  <c r="B15" i="24"/>
  <c r="K39" i="22" l="1"/>
  <c r="K38" i="22"/>
  <c r="K37" i="22"/>
  <c r="K36" i="22"/>
  <c r="K35" i="22"/>
  <c r="K34" i="22"/>
  <c r="K33" i="22"/>
  <c r="K32" i="22"/>
  <c r="K31" i="22"/>
  <c r="B16" i="6" l="1"/>
  <c r="B17" i="6"/>
  <c r="B18" i="6"/>
  <c r="B19" i="6"/>
  <c r="B20" i="6"/>
  <c r="B21" i="6"/>
  <c r="B22" i="6"/>
  <c r="B23" i="6"/>
  <c r="G43" i="13" l="1"/>
  <c r="F43" i="13"/>
  <c r="G41" i="13"/>
  <c r="F41" i="13"/>
  <c r="G39" i="13"/>
  <c r="F39" i="13"/>
  <c r="D38" i="13"/>
  <c r="D40" i="13"/>
  <c r="D42" i="13"/>
  <c r="D44" i="13"/>
  <c r="G37" i="13"/>
  <c r="F37" i="13"/>
  <c r="U22" i="13" l="1"/>
  <c r="U19" i="13"/>
  <c r="C12" i="12" l="1"/>
  <c r="D20" i="12"/>
  <c r="L21" i="12"/>
  <c r="M21" i="12" s="1"/>
  <c r="I19" i="12" s="1"/>
  <c r="I20" i="12" s="1"/>
  <c r="H20" i="12" l="1"/>
  <c r="I21" i="12"/>
  <c r="H21" i="12" s="1"/>
  <c r="G25" i="17"/>
  <c r="G22" i="17"/>
  <c r="G19" i="17"/>
  <c r="E26" i="17"/>
  <c r="G16" i="17"/>
  <c r="E16" i="6" l="1"/>
  <c r="B60" i="6" l="1"/>
  <c r="C60" i="6"/>
  <c r="B25" i="6"/>
  <c r="H25" i="6"/>
  <c r="E25" i="6"/>
  <c r="H23" i="6"/>
  <c r="E23" i="6"/>
  <c r="B56" i="6" l="1"/>
  <c r="C56" i="6"/>
  <c r="B57" i="6"/>
  <c r="C57" i="6"/>
  <c r="B58" i="6"/>
  <c r="C58" i="6"/>
  <c r="B59" i="6"/>
  <c r="C59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C55" i="6"/>
  <c r="B55" i="6"/>
  <c r="M16" i="17" l="1"/>
  <c r="M15" i="17"/>
  <c r="M53" i="17"/>
  <c r="I50" i="14"/>
  <c r="J50" i="14"/>
  <c r="K50" i="14"/>
  <c r="L50" i="14"/>
  <c r="M50" i="14" s="1"/>
  <c r="N50" i="14"/>
  <c r="C9" i="13"/>
  <c r="I44" i="14"/>
  <c r="J44" i="14"/>
  <c r="K44" i="14"/>
  <c r="L44" i="14"/>
  <c r="M44" i="14" s="1"/>
  <c r="N44" i="14"/>
  <c r="I43" i="14"/>
  <c r="J43" i="14"/>
  <c r="K43" i="14"/>
  <c r="L43" i="14"/>
  <c r="M43" i="14" s="1"/>
  <c r="N43" i="14"/>
  <c r="E7" i="13"/>
  <c r="F7" i="13"/>
  <c r="G7" i="13"/>
  <c r="H7" i="13"/>
  <c r="I7" i="13"/>
  <c r="D7" i="13"/>
  <c r="I5" i="13"/>
  <c r="G6" i="24" s="1"/>
  <c r="H5" i="13"/>
  <c r="F6" i="24" s="1"/>
  <c r="G5" i="13"/>
  <c r="E6" i="24" s="1"/>
  <c r="F5" i="13"/>
  <c r="D6" i="24" s="1"/>
  <c r="E5" i="13"/>
  <c r="C6" i="24" s="1"/>
  <c r="D5" i="13"/>
  <c r="B6" i="24" s="1"/>
  <c r="G75" i="13" l="1"/>
  <c r="G74" i="13"/>
  <c r="G73" i="13"/>
  <c r="F75" i="13"/>
  <c r="F74" i="13"/>
  <c r="F73" i="13"/>
  <c r="E76" i="13"/>
  <c r="E75" i="13"/>
  <c r="E74" i="13"/>
  <c r="E73" i="13"/>
  <c r="D76" i="13"/>
  <c r="D74" i="13"/>
  <c r="D75" i="13"/>
  <c r="D73" i="13"/>
  <c r="F76" i="13"/>
  <c r="D30" i="13"/>
  <c r="C33" i="24" s="1"/>
  <c r="D32" i="13"/>
  <c r="C34" i="24" s="1"/>
  <c r="D34" i="13"/>
  <c r="C35" i="24" s="1"/>
  <c r="D28" i="13"/>
  <c r="C32" i="24" s="1"/>
  <c r="A58" i="13" l="1"/>
  <c r="A57" i="13"/>
  <c r="J57" i="13" s="1"/>
  <c r="A56" i="13"/>
  <c r="A55" i="13"/>
  <c r="G49" i="13"/>
  <c r="H21" i="6"/>
  <c r="H24" i="6"/>
  <c r="H26" i="6"/>
  <c r="H27" i="6"/>
  <c r="H28" i="6"/>
  <c r="H29" i="6"/>
  <c r="H30" i="6"/>
  <c r="B24" i="6"/>
  <c r="B26" i="6"/>
  <c r="B27" i="6"/>
  <c r="B28" i="6"/>
  <c r="B29" i="6"/>
  <c r="B30" i="6"/>
  <c r="C31" i="6"/>
  <c r="E19" i="6"/>
  <c r="E20" i="6"/>
  <c r="E21" i="6"/>
  <c r="E22" i="6"/>
  <c r="E24" i="6"/>
  <c r="E26" i="6"/>
  <c r="E27" i="6"/>
  <c r="E28" i="6"/>
  <c r="E29" i="6"/>
  <c r="E30" i="6"/>
  <c r="G27" i="6" l="1"/>
  <c r="G29" i="6"/>
  <c r="G30" i="6"/>
  <c r="G28" i="6"/>
  <c r="G26" i="6"/>
  <c r="F17" i="6"/>
  <c r="F21" i="6"/>
  <c r="F25" i="6"/>
  <c r="F29" i="6"/>
  <c r="F18" i="6"/>
  <c r="F22" i="6"/>
  <c r="F26" i="6"/>
  <c r="F30" i="6"/>
  <c r="F24" i="6"/>
  <c r="F28" i="6"/>
  <c r="F19" i="6"/>
  <c r="F23" i="6"/>
  <c r="F27" i="6"/>
  <c r="F16" i="6"/>
  <c r="F20" i="6"/>
  <c r="H56" i="13"/>
  <c r="B31" i="13" s="1"/>
  <c r="J56" i="13"/>
  <c r="H22" i="6"/>
  <c r="H20" i="6"/>
  <c r="H19" i="6"/>
  <c r="D17" i="6"/>
  <c r="G17" i="6" s="1"/>
  <c r="D19" i="6"/>
  <c r="D21" i="6"/>
  <c r="G21" i="6" s="1"/>
  <c r="D23" i="6"/>
  <c r="G23" i="6" s="1"/>
  <c r="D25" i="6"/>
  <c r="G25" i="6" s="1"/>
  <c r="D27" i="6"/>
  <c r="D29" i="6"/>
  <c r="D16" i="6"/>
  <c r="G16" i="6" s="1"/>
  <c r="D18" i="6"/>
  <c r="D20" i="6"/>
  <c r="G20" i="6" s="1"/>
  <c r="D22" i="6"/>
  <c r="G22" i="6" s="1"/>
  <c r="D24" i="6"/>
  <c r="G24" i="6" s="1"/>
  <c r="D26" i="6"/>
  <c r="D28" i="6"/>
  <c r="D30" i="6"/>
  <c r="H58" i="13"/>
  <c r="B35" i="13" s="1"/>
  <c r="J58" i="13"/>
  <c r="H55" i="13"/>
  <c r="B29" i="13" s="1"/>
  <c r="J55" i="13"/>
  <c r="C46" i="6"/>
  <c r="B14" i="24" s="1"/>
  <c r="D57" i="13"/>
  <c r="F63" i="13" s="1"/>
  <c r="H57" i="13"/>
  <c r="B33" i="13" s="1"/>
  <c r="G58" i="13"/>
  <c r="E58" i="13"/>
  <c r="G64" i="13" s="1"/>
  <c r="C58" i="13"/>
  <c r="G62" i="13" s="1"/>
  <c r="F58" i="13"/>
  <c r="D58" i="13"/>
  <c r="G63" i="13" s="1"/>
  <c r="B58" i="13"/>
  <c r="G57" i="13"/>
  <c r="F57" i="13"/>
  <c r="E57" i="13"/>
  <c r="F64" i="13" s="1"/>
  <c r="C57" i="13"/>
  <c r="F62" i="13" s="1"/>
  <c r="B57" i="13"/>
  <c r="I57" i="13" s="1"/>
  <c r="B56" i="13"/>
  <c r="I56" i="13" s="1"/>
  <c r="G56" i="13"/>
  <c r="E56" i="13"/>
  <c r="E64" i="13" s="1"/>
  <c r="C56" i="13"/>
  <c r="E62" i="13" s="1"/>
  <c r="F56" i="13"/>
  <c r="D56" i="13"/>
  <c r="E63" i="13" s="1"/>
  <c r="G55" i="13"/>
  <c r="F55" i="13"/>
  <c r="E55" i="13"/>
  <c r="D64" i="13" s="1"/>
  <c r="D55" i="13"/>
  <c r="D63" i="13" s="1"/>
  <c r="C55" i="13"/>
  <c r="D62" i="13" s="1"/>
  <c r="B55" i="13"/>
  <c r="I55" i="13" s="1"/>
  <c r="E18" i="6"/>
  <c r="E17" i="6"/>
  <c r="G18" i="6" l="1"/>
  <c r="G19" i="6"/>
  <c r="H18" i="6"/>
  <c r="H17" i="6"/>
  <c r="C48" i="6"/>
  <c r="C47" i="6"/>
  <c r="C49" i="6"/>
  <c r="C50" i="6"/>
  <c r="E31" i="6"/>
  <c r="G65" i="13"/>
  <c r="G66" i="13" s="1"/>
  <c r="G67" i="13" s="1"/>
  <c r="F65" i="13"/>
  <c r="E65" i="13"/>
  <c r="E66" i="13" s="1"/>
  <c r="E67" i="13" s="1"/>
  <c r="D65" i="13"/>
  <c r="D66" i="13" s="1"/>
  <c r="D67" i="13" s="1"/>
  <c r="G31" i="6" l="1"/>
  <c r="H31" i="6"/>
  <c r="G37" i="6" s="1"/>
  <c r="G38" i="6" s="1"/>
  <c r="B48" i="6"/>
  <c r="B49" i="6"/>
  <c r="B50" i="6"/>
  <c r="B47" i="6"/>
  <c r="C34" i="6"/>
  <c r="G34" i="6"/>
  <c r="F66" i="13"/>
  <c r="G68" i="13"/>
  <c r="G69" i="13" s="1"/>
  <c r="E68" i="13"/>
  <c r="E69" i="13" s="1"/>
  <c r="D68" i="13"/>
  <c r="D69" i="13" s="1"/>
  <c r="F31" i="6"/>
  <c r="C38" i="6" s="1"/>
  <c r="D31" i="6"/>
  <c r="R54" i="17"/>
  <c r="P56" i="17"/>
  <c r="O56" i="17"/>
  <c r="M56" i="17"/>
  <c r="S7" i="17"/>
  <c r="S6" i="17"/>
  <c r="Q7" i="17"/>
  <c r="Q6" i="17"/>
  <c r="M55" i="17" l="1"/>
  <c r="M54" i="17"/>
  <c r="G70" i="13"/>
  <c r="F67" i="13"/>
  <c r="E70" i="13"/>
  <c r="D70" i="13"/>
  <c r="P55" i="17"/>
  <c r="P53" i="17"/>
  <c r="P54" i="17"/>
  <c r="O54" i="17"/>
  <c r="O53" i="17"/>
  <c r="O55" i="17"/>
  <c r="F68" i="13" l="1"/>
  <c r="F69" i="13" l="1"/>
  <c r="S8" i="17"/>
  <c r="S9" i="17" s="1"/>
  <c r="Q8" i="17"/>
  <c r="Q9" i="17" s="1"/>
  <c r="Q10" i="17" l="1"/>
  <c r="Q11" i="17" s="1"/>
  <c r="S10" i="17"/>
  <c r="S11" i="17" s="1"/>
  <c r="F70" i="13"/>
  <c r="K37" i="17"/>
  <c r="K36" i="17"/>
  <c r="K35" i="17"/>
  <c r="P34" i="17"/>
  <c r="L34" i="17" l="1"/>
  <c r="C30" i="17"/>
  <c r="Q36" i="17"/>
  <c r="C34" i="17"/>
  <c r="C32" i="17"/>
  <c r="C36" i="17"/>
  <c r="Q34" i="17"/>
  <c r="O37" i="17"/>
  <c r="Q43" i="17" s="1"/>
  <c r="Q37" i="17"/>
  <c r="N55" i="17"/>
  <c r="N54" i="17"/>
  <c r="N56" i="17"/>
  <c r="N53" i="17"/>
  <c r="O35" i="17"/>
  <c r="O43" i="17" s="1"/>
  <c r="N41" i="17"/>
  <c r="L37" i="17"/>
  <c r="C35" i="17" s="1"/>
  <c r="E35" i="24" s="1"/>
  <c r="L35" i="17"/>
  <c r="C31" i="17" s="1"/>
  <c r="E33" i="24" s="1"/>
  <c r="M36" i="17"/>
  <c r="P41" i="17" s="1"/>
  <c r="N34" i="17"/>
  <c r="N42" i="17" s="1"/>
  <c r="P36" i="17"/>
  <c r="N36" i="17"/>
  <c r="P42" i="17" s="1"/>
  <c r="L36" i="17"/>
  <c r="C33" i="17" s="1"/>
  <c r="E34" i="24" s="1"/>
  <c r="M37" i="17"/>
  <c r="Q41" i="17" s="1"/>
  <c r="M35" i="17"/>
  <c r="O41" i="17" s="1"/>
  <c r="O34" i="17"/>
  <c r="N43" i="17" s="1"/>
  <c r="P37" i="17"/>
  <c r="N37" i="17"/>
  <c r="Q42" i="17" s="1"/>
  <c r="O36" i="17"/>
  <c r="P43" i="17" s="1"/>
  <c r="P35" i="17"/>
  <c r="N35" i="17"/>
  <c r="O42" i="17" s="1"/>
  <c r="D6" i="17"/>
  <c r="D10" i="17" s="1"/>
  <c r="M14" i="17" s="1"/>
  <c r="B42" i="13" l="1"/>
  <c r="B44" i="13"/>
  <c r="B40" i="13"/>
  <c r="F35" i="17"/>
  <c r="D43" i="13" s="1"/>
  <c r="B43" i="13"/>
  <c r="B38" i="13"/>
  <c r="F33" i="17"/>
  <c r="D41" i="13" s="1"/>
  <c r="B41" i="13"/>
  <c r="C29" i="17"/>
  <c r="B39" i="13"/>
  <c r="Q35" i="17"/>
  <c r="F31" i="17"/>
  <c r="D39" i="13" s="1"/>
  <c r="Q44" i="17"/>
  <c r="Q45" i="17" s="1"/>
  <c r="Q46" i="17" s="1"/>
  <c r="P44" i="17"/>
  <c r="P45" i="17" s="1"/>
  <c r="P46" i="17" s="1"/>
  <c r="O44" i="17"/>
  <c r="O45" i="17" s="1"/>
  <c r="O46" i="17" s="1"/>
  <c r="O47" i="17" s="1"/>
  <c r="O48" i="17" s="1"/>
  <c r="O49" i="17" s="1"/>
  <c r="N44" i="17"/>
  <c r="N45" i="17" s="1"/>
  <c r="N46" i="17" s="1"/>
  <c r="O7" i="17"/>
  <c r="O6" i="17"/>
  <c r="M14" i="12"/>
  <c r="I24" i="12" s="1"/>
  <c r="I25" i="12" s="1"/>
  <c r="H25" i="12" s="1"/>
  <c r="M11" i="12"/>
  <c r="D11" i="12" s="1"/>
  <c r="M20" i="12"/>
  <c r="D23" i="12" s="1"/>
  <c r="M15" i="12"/>
  <c r="D18" i="12" s="1"/>
  <c r="L18" i="12"/>
  <c r="M18" i="12" s="1"/>
  <c r="D21" i="12" s="1"/>
  <c r="L19" i="12"/>
  <c r="M19" i="12" s="1"/>
  <c r="D22" i="12" s="1"/>
  <c r="M16" i="12"/>
  <c r="D19" i="12" s="1"/>
  <c r="M10" i="12"/>
  <c r="D10" i="12" s="1"/>
  <c r="M9" i="12"/>
  <c r="M8" i="12"/>
  <c r="M7" i="12"/>
  <c r="F29" i="17" l="1"/>
  <c r="D37" i="13" s="1"/>
  <c r="E32" i="24"/>
  <c r="B37" i="13"/>
  <c r="D8" i="12"/>
  <c r="D9" i="12"/>
  <c r="D7" i="12"/>
  <c r="O8" i="17"/>
  <c r="O9" i="17" s="1"/>
  <c r="P47" i="17"/>
  <c r="P48" i="17" s="1"/>
  <c r="N47" i="17"/>
  <c r="N48" i="17" s="1"/>
  <c r="Q47" i="17"/>
  <c r="Q48" i="17" s="1"/>
  <c r="H10" i="12" l="1"/>
  <c r="I10" i="12" s="1"/>
  <c r="H7" i="12"/>
  <c r="D12" i="12"/>
  <c r="M21" i="17"/>
  <c r="M19" i="17"/>
  <c r="O10" i="17"/>
  <c r="O11" i="17" s="1"/>
  <c r="N49" i="17"/>
  <c r="Q49" i="17"/>
  <c r="P49" i="17"/>
  <c r="I7" i="12" l="1"/>
  <c r="J6" i="13" s="1"/>
  <c r="J40" i="22" s="1"/>
  <c r="M20" i="17"/>
  <c r="M22" i="17"/>
  <c r="Q30" i="13"/>
  <c r="Q29" i="13"/>
  <c r="Q28" i="13"/>
  <c r="Q27" i="13"/>
  <c r="R27" i="13" s="1"/>
  <c r="Q19" i="13" l="1"/>
  <c r="R19" i="13" s="1"/>
  <c r="R29" i="13"/>
  <c r="Q26" i="13"/>
  <c r="R28" i="13"/>
  <c r="Q24" i="13"/>
  <c r="R24" i="13" s="1"/>
  <c r="R30" i="13"/>
  <c r="Q17" i="13"/>
  <c r="R17" i="13" s="1"/>
  <c r="Q23" i="13"/>
  <c r="R23" i="13" s="1"/>
  <c r="Q21" i="13"/>
  <c r="R21" i="13" s="1"/>
  <c r="Q18" i="13"/>
  <c r="R18" i="13" s="1"/>
  <c r="Q22" i="13"/>
  <c r="R22" i="13" s="1"/>
  <c r="Q20" i="13" l="1"/>
  <c r="R20" i="13" s="1"/>
  <c r="H6" i="13"/>
  <c r="F7" i="24" s="1"/>
  <c r="G6" i="13"/>
  <c r="E7" i="24" s="1"/>
  <c r="F6" i="13"/>
  <c r="D7" i="24" s="1"/>
  <c r="E6" i="13"/>
  <c r="D6" i="13"/>
  <c r="B7" i="24" s="1"/>
  <c r="N3" i="14"/>
  <c r="L3" i="14"/>
  <c r="M3" i="14" s="1"/>
  <c r="K3" i="14"/>
  <c r="J3" i="14"/>
  <c r="I3" i="14"/>
  <c r="I40" i="22" l="1"/>
  <c r="C7" i="24"/>
  <c r="D9" i="13"/>
  <c r="H40" i="22"/>
  <c r="E9" i="13"/>
  <c r="G9" i="13"/>
  <c r="F9" i="13"/>
  <c r="H9" i="13"/>
  <c r="M6" i="13"/>
  <c r="K40" i="22" l="1"/>
  <c r="N52" i="14"/>
  <c r="M7" i="13" s="1"/>
  <c r="M9" i="13" s="1"/>
  <c r="L52" i="14"/>
  <c r="K7" i="13" s="1"/>
  <c r="K52" i="14"/>
  <c r="J7" i="13" s="1"/>
  <c r="J9" i="13" s="1"/>
  <c r="J52" i="14"/>
  <c r="I52" i="14"/>
  <c r="N51" i="14"/>
  <c r="L51" i="14"/>
  <c r="M51" i="14" s="1"/>
  <c r="K51" i="14"/>
  <c r="J51" i="14"/>
  <c r="I51" i="14"/>
  <c r="N42" i="14"/>
  <c r="L42" i="14"/>
  <c r="M42" i="14" s="1"/>
  <c r="K42" i="14"/>
  <c r="J42" i="14"/>
  <c r="I42" i="14"/>
  <c r="N41" i="14"/>
  <c r="L41" i="14"/>
  <c r="M41" i="14" s="1"/>
  <c r="K41" i="14"/>
  <c r="J41" i="14"/>
  <c r="I41" i="14"/>
  <c r="N40" i="14"/>
  <c r="L40" i="14"/>
  <c r="M40" i="14" s="1"/>
  <c r="K40" i="14"/>
  <c r="J40" i="14"/>
  <c r="I40" i="14"/>
  <c r="N39" i="14"/>
  <c r="L39" i="14"/>
  <c r="K39" i="14"/>
  <c r="J39" i="14"/>
  <c r="I39" i="14"/>
  <c r="N38" i="14"/>
  <c r="L38" i="14"/>
  <c r="M38" i="14" s="1"/>
  <c r="K38" i="14"/>
  <c r="J38" i="14"/>
  <c r="I38" i="14"/>
  <c r="N37" i="14"/>
  <c r="L37" i="14"/>
  <c r="M37" i="14" s="1"/>
  <c r="K37" i="14"/>
  <c r="J37" i="14"/>
  <c r="I37" i="14"/>
  <c r="N36" i="14"/>
  <c r="L36" i="14"/>
  <c r="M36" i="14" s="1"/>
  <c r="K36" i="14"/>
  <c r="J36" i="14"/>
  <c r="I36" i="14"/>
  <c r="N35" i="14"/>
  <c r="L35" i="14"/>
  <c r="M35" i="14" s="1"/>
  <c r="K35" i="14"/>
  <c r="J35" i="14"/>
  <c r="I35" i="14"/>
  <c r="N34" i="14"/>
  <c r="L34" i="14"/>
  <c r="M34" i="14" s="1"/>
  <c r="K34" i="14"/>
  <c r="J34" i="14"/>
  <c r="I34" i="14"/>
  <c r="N33" i="14"/>
  <c r="L33" i="14"/>
  <c r="M33" i="14" s="1"/>
  <c r="K33" i="14"/>
  <c r="J33" i="14"/>
  <c r="I33" i="14"/>
  <c r="N32" i="14"/>
  <c r="L32" i="14"/>
  <c r="M32" i="14" s="1"/>
  <c r="K32" i="14"/>
  <c r="J32" i="14"/>
  <c r="I32" i="14"/>
  <c r="N31" i="14"/>
  <c r="L31" i="14"/>
  <c r="M31" i="14" s="1"/>
  <c r="K31" i="14"/>
  <c r="J31" i="14"/>
  <c r="I31" i="14"/>
  <c r="N30" i="14"/>
  <c r="L30" i="14"/>
  <c r="M30" i="14" s="1"/>
  <c r="K30" i="14"/>
  <c r="J30" i="14"/>
  <c r="I30" i="14"/>
  <c r="N29" i="14"/>
  <c r="L29" i="14"/>
  <c r="M29" i="14" s="1"/>
  <c r="K29" i="14"/>
  <c r="J29" i="14"/>
  <c r="I29" i="14"/>
  <c r="N28" i="14"/>
  <c r="L28" i="14"/>
  <c r="M28" i="14" s="1"/>
  <c r="K28" i="14"/>
  <c r="J28" i="14"/>
  <c r="I28" i="14"/>
  <c r="N27" i="14"/>
  <c r="L27" i="14"/>
  <c r="M27" i="14" s="1"/>
  <c r="K27" i="14"/>
  <c r="J27" i="14"/>
  <c r="I27" i="14"/>
  <c r="N26" i="14"/>
  <c r="L26" i="14"/>
  <c r="M26" i="14" s="1"/>
  <c r="K26" i="14"/>
  <c r="J26" i="14"/>
  <c r="I26" i="14"/>
  <c r="N25" i="14"/>
  <c r="L25" i="14"/>
  <c r="M25" i="14" s="1"/>
  <c r="K25" i="14"/>
  <c r="J25" i="14"/>
  <c r="I25" i="14"/>
  <c r="N24" i="14"/>
  <c r="L24" i="14"/>
  <c r="M24" i="14" s="1"/>
  <c r="K24" i="14"/>
  <c r="J24" i="14"/>
  <c r="I24" i="14"/>
  <c r="N23" i="14"/>
  <c r="L23" i="14"/>
  <c r="M23" i="14" s="1"/>
  <c r="K23" i="14"/>
  <c r="J23" i="14"/>
  <c r="I23" i="14"/>
  <c r="N22" i="14"/>
  <c r="L22" i="14"/>
  <c r="M22" i="14" s="1"/>
  <c r="K22" i="14"/>
  <c r="J22" i="14"/>
  <c r="I22" i="14"/>
  <c r="N21" i="14"/>
  <c r="L21" i="14"/>
  <c r="M21" i="14" s="1"/>
  <c r="K21" i="14"/>
  <c r="J21" i="14"/>
  <c r="I21" i="14"/>
  <c r="N20" i="14"/>
  <c r="L20" i="14"/>
  <c r="M20" i="14" s="1"/>
  <c r="K20" i="14"/>
  <c r="J20" i="14"/>
  <c r="I20" i="14"/>
  <c r="N19" i="14"/>
  <c r="L19" i="14"/>
  <c r="M19" i="14" s="1"/>
  <c r="K19" i="14"/>
  <c r="J19" i="14"/>
  <c r="I19" i="14"/>
  <c r="N18" i="14"/>
  <c r="L18" i="14"/>
  <c r="M18" i="14" s="1"/>
  <c r="K18" i="14"/>
  <c r="J18" i="14"/>
  <c r="I18" i="14"/>
  <c r="N17" i="14"/>
  <c r="L17" i="14"/>
  <c r="M17" i="14" s="1"/>
  <c r="K17" i="14"/>
  <c r="J17" i="14"/>
  <c r="I17" i="14"/>
  <c r="N16" i="14"/>
  <c r="L16" i="14"/>
  <c r="M16" i="14" s="1"/>
  <c r="K16" i="14"/>
  <c r="J16" i="14"/>
  <c r="I16" i="14"/>
  <c r="N15" i="14"/>
  <c r="L15" i="14"/>
  <c r="M15" i="14" s="1"/>
  <c r="K15" i="14"/>
  <c r="J15" i="14"/>
  <c r="I15" i="14"/>
  <c r="N14" i="14"/>
  <c r="L14" i="14"/>
  <c r="M14" i="14" s="1"/>
  <c r="K14" i="14"/>
  <c r="J14" i="14"/>
  <c r="I14" i="14"/>
  <c r="N13" i="14"/>
  <c r="L13" i="14"/>
  <c r="M13" i="14" s="1"/>
  <c r="K13" i="14"/>
  <c r="J13" i="14"/>
  <c r="I13" i="14"/>
  <c r="N12" i="14"/>
  <c r="L12" i="14"/>
  <c r="M12" i="14" s="1"/>
  <c r="K12" i="14"/>
  <c r="J12" i="14"/>
  <c r="I12" i="14"/>
  <c r="N11" i="14"/>
  <c r="L11" i="14"/>
  <c r="M11" i="14" s="1"/>
  <c r="K11" i="14"/>
  <c r="J11" i="14"/>
  <c r="I11" i="14"/>
  <c r="N10" i="14"/>
  <c r="L10" i="14"/>
  <c r="M10" i="14" s="1"/>
  <c r="K10" i="14"/>
  <c r="J10" i="14"/>
  <c r="I10" i="14"/>
  <c r="N9" i="14"/>
  <c r="L9" i="14"/>
  <c r="M9" i="14" s="1"/>
  <c r="K9" i="14"/>
  <c r="J9" i="14"/>
  <c r="I9" i="14"/>
  <c r="N8" i="14"/>
  <c r="L8" i="14"/>
  <c r="M8" i="14" s="1"/>
  <c r="K8" i="14"/>
  <c r="J8" i="14"/>
  <c r="I8" i="14"/>
  <c r="N7" i="14"/>
  <c r="L7" i="14"/>
  <c r="M7" i="14" s="1"/>
  <c r="K7" i="14"/>
  <c r="J7" i="14"/>
  <c r="I7" i="14"/>
  <c r="N6" i="14"/>
  <c r="L6" i="14"/>
  <c r="M6" i="14" s="1"/>
  <c r="K6" i="14"/>
  <c r="J6" i="14"/>
  <c r="I6" i="14"/>
  <c r="N5" i="14"/>
  <c r="L5" i="14"/>
  <c r="M5" i="14" s="1"/>
  <c r="K5" i="14"/>
  <c r="J5" i="14"/>
  <c r="I5" i="14"/>
  <c r="N4" i="14"/>
  <c r="L4" i="14"/>
  <c r="M4" i="14" s="1"/>
  <c r="K4" i="14"/>
  <c r="J4" i="14"/>
  <c r="I4" i="14"/>
  <c r="N2" i="14"/>
  <c r="L2" i="14"/>
  <c r="K2" i="14"/>
  <c r="J2" i="14"/>
  <c r="I2" i="14"/>
  <c r="M5" i="13" l="1"/>
  <c r="J5" i="13"/>
  <c r="M39" i="14"/>
  <c r="L5" i="13" s="1"/>
  <c r="K5" i="13"/>
  <c r="M2" i="14"/>
  <c r="M52" i="14"/>
  <c r="L7" i="13" s="1"/>
  <c r="B46" i="6"/>
  <c r="B16" i="13" s="1"/>
  <c r="J24" i="13" l="1"/>
  <c r="J20" i="13"/>
  <c r="J21" i="13"/>
  <c r="J17" i="13"/>
  <c r="J23" i="13"/>
  <c r="J19" i="13"/>
  <c r="J18" i="13"/>
  <c r="J22" i="13"/>
  <c r="K16" i="13"/>
  <c r="K21" i="13" s="1"/>
  <c r="I23" i="13"/>
  <c r="H20" i="13"/>
  <c r="F23" i="13"/>
  <c r="D24" i="13"/>
  <c r="I24" i="13"/>
  <c r="E18" i="13"/>
  <c r="I22" i="13"/>
  <c r="H19" i="13"/>
  <c r="F20" i="13"/>
  <c r="D22" i="13"/>
  <c r="G17" i="13"/>
  <c r="G18" i="13"/>
  <c r="E21" i="13"/>
  <c r="D19" i="13"/>
  <c r="H21" i="13"/>
  <c r="D17" i="13"/>
  <c r="C20" i="24"/>
  <c r="C21" i="24" s="1"/>
  <c r="M64" i="13"/>
  <c r="M63" i="13"/>
  <c r="M62" i="13"/>
  <c r="M61" i="13"/>
  <c r="J61" i="13"/>
  <c r="K61" i="13" s="1"/>
  <c r="L61" i="13" s="1"/>
  <c r="J64" i="13"/>
  <c r="J63" i="13"/>
  <c r="I32" i="13" s="1"/>
  <c r="J62" i="13"/>
  <c r="F28" i="10"/>
  <c r="F29" i="10" s="1"/>
  <c r="F16" i="10"/>
  <c r="F17" i="10" s="1"/>
  <c r="F10" i="10"/>
  <c r="F11" i="10" s="1"/>
  <c r="K19" i="13" l="1"/>
  <c r="K24" i="13"/>
  <c r="D30" i="24" s="1"/>
  <c r="K17" i="13"/>
  <c r="D23" i="24" s="1"/>
  <c r="K18" i="13"/>
  <c r="D24" i="24" s="1"/>
  <c r="K22" i="13"/>
  <c r="D28" i="24" s="1"/>
  <c r="K23" i="13"/>
  <c r="D29" i="24" s="1"/>
  <c r="D20" i="24"/>
  <c r="K20" i="13"/>
  <c r="D26" i="24" s="1"/>
  <c r="I34" i="13"/>
  <c r="H35" i="13"/>
  <c r="J35" i="13" s="1"/>
  <c r="I28" i="13"/>
  <c r="H29" i="13" s="1"/>
  <c r="J29" i="13" s="1"/>
  <c r="D27" i="24"/>
  <c r="D25" i="24"/>
  <c r="K63" i="13"/>
  <c r="L63" i="13" s="1"/>
  <c r="K64" i="13"/>
  <c r="K62" i="13"/>
  <c r="L62" i="13" s="1"/>
  <c r="I30" i="13" s="1"/>
  <c r="F31" i="10"/>
  <c r="D87" i="6"/>
  <c r="F46" i="6"/>
  <c r="H33" i="13" l="1"/>
  <c r="J33" i="13" s="1"/>
  <c r="I25" i="13"/>
  <c r="H25" i="13"/>
  <c r="H11" i="13" s="1"/>
  <c r="G25" i="13"/>
  <c r="F12" i="10"/>
  <c r="F24" i="10" s="1"/>
  <c r="H31" i="13" l="1"/>
  <c r="J31" i="13" s="1"/>
  <c r="I11" i="13"/>
  <c r="G76" i="13"/>
  <c r="I58" i="13" s="1"/>
  <c r="G11" i="13"/>
  <c r="F15" i="10"/>
  <c r="F19" i="10" s="1"/>
  <c r="F30" i="10"/>
  <c r="F25" i="10"/>
  <c r="L64" i="13" l="1"/>
  <c r="F20" i="10"/>
  <c r="F21" i="10" s="1"/>
  <c r="F33" i="10"/>
  <c r="F34" i="10" s="1"/>
  <c r="F32" i="10"/>
  <c r="G35" i="6" l="1"/>
  <c r="G36" i="6" s="1"/>
  <c r="C35" i="6"/>
  <c r="C36" i="6" s="1"/>
  <c r="G60" i="6" s="1"/>
  <c r="H60" i="6" s="1"/>
  <c r="G64" i="6" l="1"/>
  <c r="H64" i="6" s="1"/>
  <c r="G65" i="6"/>
  <c r="H65" i="6" s="1"/>
  <c r="G66" i="6"/>
  <c r="H66" i="6" s="1"/>
  <c r="G67" i="6"/>
  <c r="H67" i="6" s="1"/>
  <c r="G68" i="6"/>
  <c r="H68" i="6" s="1"/>
  <c r="G69" i="6"/>
  <c r="H69" i="6" s="1"/>
  <c r="D11" i="13"/>
  <c r="D12" i="13" s="1"/>
  <c r="F11" i="13"/>
  <c r="F12" i="13" s="1"/>
  <c r="E11" i="13"/>
  <c r="E12" i="13" s="1"/>
  <c r="H12" i="13"/>
  <c r="F8" i="24" s="1"/>
  <c r="G12" i="13"/>
  <c r="E8" i="24" s="1"/>
  <c r="G56" i="6"/>
  <c r="H56" i="6" s="1"/>
  <c r="G57" i="6"/>
  <c r="H57" i="6" s="1"/>
  <c r="G61" i="6"/>
  <c r="H61" i="6" s="1"/>
  <c r="G58" i="6"/>
  <c r="H58" i="6" s="1"/>
  <c r="G62" i="6"/>
  <c r="H62" i="6" s="1"/>
  <c r="G55" i="6"/>
  <c r="H55" i="6" s="1"/>
  <c r="G59" i="6"/>
  <c r="H59" i="6" s="1"/>
  <c r="G63" i="6"/>
  <c r="H63" i="6" s="1"/>
  <c r="B12" i="6"/>
  <c r="D77" i="6"/>
  <c r="B11" i="6"/>
  <c r="B8" i="24" l="1"/>
  <c r="D10" i="13"/>
  <c r="E13" i="13"/>
  <c r="C9" i="24" s="1"/>
  <c r="C8" i="24"/>
  <c r="F13" i="13"/>
  <c r="D9" i="24" s="1"/>
  <c r="D8" i="24"/>
  <c r="D13" i="13"/>
  <c r="B9" i="24" s="1"/>
  <c r="J12" i="13"/>
  <c r="E14" i="24" s="1"/>
  <c r="G10" i="13"/>
  <c r="E10" i="13"/>
  <c r="F10" i="13"/>
  <c r="H10" i="13"/>
  <c r="M12" i="13"/>
  <c r="H70" i="6"/>
  <c r="H12" i="6" s="1"/>
  <c r="D78" i="6"/>
  <c r="D76" i="6"/>
  <c r="E11" i="6" s="1"/>
  <c r="E12" i="6"/>
  <c r="I41" i="22" l="1"/>
  <c r="H41" i="22"/>
  <c r="J13" i="13"/>
  <c r="J41" i="22" s="1"/>
  <c r="D79" i="6"/>
  <c r="D80" i="6" s="1"/>
  <c r="D81" i="6" s="1"/>
  <c r="H11" i="6" s="1"/>
  <c r="K41" i="22" l="1"/>
  <c r="C51" i="6"/>
  <c r="H26" i="13"/>
  <c r="H13" i="13" s="1"/>
  <c r="F9" i="24" s="1"/>
  <c r="G26" i="13"/>
  <c r="G13" i="13" s="1"/>
  <c r="C24" i="12"/>
  <c r="I6" i="13"/>
  <c r="G7" i="24" s="1"/>
  <c r="I9" i="13"/>
  <c r="I12" i="13" s="1"/>
  <c r="K12" i="13" s="1"/>
  <c r="L12" i="13" s="1"/>
  <c r="D17" i="12"/>
  <c r="H13" i="12" s="1"/>
  <c r="M13" i="13" l="1"/>
  <c r="E9" i="24"/>
  <c r="I10" i="13"/>
  <c r="G8" i="24"/>
  <c r="I13" i="13"/>
  <c r="G9" i="24" s="1"/>
  <c r="H14" i="12"/>
  <c r="I13" i="12"/>
  <c r="K6" i="13" s="1"/>
  <c r="H9" i="12"/>
  <c r="D24" i="12"/>
  <c r="D27" i="12" s="1"/>
  <c r="I14" i="12" l="1"/>
  <c r="L6" i="13" s="1"/>
  <c r="K13" i="13"/>
  <c r="E15" i="24"/>
  <c r="I9" i="12"/>
  <c r="H8" i="12"/>
  <c r="I8" i="12" s="1"/>
  <c r="D5" i="17"/>
  <c r="D9" i="17" s="1"/>
  <c r="M13" i="17" s="1"/>
  <c r="L41" i="22" l="1"/>
  <c r="L40" i="22"/>
  <c r="K9" i="13"/>
  <c r="E16" i="24"/>
  <c r="L13" i="13"/>
  <c r="C37" i="6" s="1"/>
  <c r="C41" i="6" s="1"/>
  <c r="B17" i="24" s="1"/>
  <c r="L9" i="13"/>
  <c r="M40" i="22"/>
  <c r="M17" i="17"/>
  <c r="M23" i="17" s="1"/>
  <c r="M18" i="17"/>
  <c r="M24" i="17" s="1"/>
  <c r="D28" i="17" s="1"/>
  <c r="E15" i="13" l="1"/>
  <c r="W36" i="17"/>
  <c r="W35" i="17"/>
  <c r="W34" i="17"/>
  <c r="W37" i="17"/>
  <c r="C39" i="6"/>
  <c r="C40" i="6" s="1"/>
  <c r="M41" i="22"/>
  <c r="R37" i="17"/>
  <c r="R36" i="17"/>
  <c r="R35" i="17"/>
  <c r="R34" i="17"/>
  <c r="E28" i="17"/>
  <c r="S36" i="17" l="1"/>
  <c r="T36" i="17"/>
  <c r="Y37" i="17"/>
  <c r="X37" i="17"/>
  <c r="E35" i="17" s="1"/>
  <c r="S37" i="17"/>
  <c r="D35" i="17" s="1"/>
  <c r="T37" i="17"/>
  <c r="Y34" i="17"/>
  <c r="X34" i="17"/>
  <c r="S34" i="17"/>
  <c r="T34" i="17"/>
  <c r="X35" i="17"/>
  <c r="Y35" i="17"/>
  <c r="T35" i="17"/>
  <c r="S35" i="17"/>
  <c r="B16" i="24"/>
  <c r="D15" i="13"/>
  <c r="Y36" i="17"/>
  <c r="X36" i="17"/>
  <c r="Z35" i="17" l="1"/>
  <c r="E31" i="17" s="1"/>
  <c r="AA35" i="17"/>
  <c r="E32" i="17"/>
  <c r="C43" i="13"/>
  <c r="D35" i="24"/>
  <c r="Z34" i="17"/>
  <c r="E30" i="17"/>
  <c r="AA34" i="17"/>
  <c r="E29" i="17" s="1"/>
  <c r="C37" i="13" s="1"/>
  <c r="D32" i="24" s="1"/>
  <c r="AA37" i="17"/>
  <c r="Z37" i="17"/>
  <c r="E36" i="17"/>
  <c r="V34" i="17"/>
  <c r="D29" i="17" s="1"/>
  <c r="U34" i="17"/>
  <c r="D30" i="17"/>
  <c r="U37" i="17"/>
  <c r="D36" i="17"/>
  <c r="V37" i="17"/>
  <c r="U36" i="17"/>
  <c r="D34" i="17"/>
  <c r="V36" i="17"/>
  <c r="D33" i="17" s="1"/>
  <c r="E34" i="17"/>
  <c r="AA36" i="17"/>
  <c r="E33" i="17" s="1"/>
  <c r="Z36" i="17"/>
  <c r="D32" i="17"/>
  <c r="U35" i="17"/>
  <c r="D31" i="17" s="1"/>
  <c r="V35" i="17"/>
  <c r="C44" i="13" l="1"/>
  <c r="G36" i="17"/>
  <c r="G30" i="17"/>
  <c r="C38" i="13"/>
  <c r="C40" i="13"/>
  <c r="G32" i="17"/>
  <c r="D34" i="24"/>
  <c r="C41" i="13"/>
  <c r="C42" i="13"/>
  <c r="G34" i="17"/>
  <c r="D33" i="24"/>
  <c r="C39" i="13"/>
</calcChain>
</file>

<file path=xl/sharedStrings.xml><?xml version="1.0" encoding="utf-8"?>
<sst xmlns="http://schemas.openxmlformats.org/spreadsheetml/2006/main" count="898" uniqueCount="546">
  <si>
    <t>Antes de Hervir</t>
  </si>
  <si>
    <t>Después de Hervir</t>
  </si>
  <si>
    <t>Densidad</t>
  </si>
  <si>
    <t>Rendimiento</t>
  </si>
  <si>
    <t>Fermentación</t>
  </si>
  <si>
    <t>%</t>
  </si>
  <si>
    <t>Evaporación</t>
  </si>
  <si>
    <t>Total</t>
  </si>
  <si>
    <t>Variedad</t>
  </si>
  <si>
    <t>%AA</t>
  </si>
  <si>
    <t>Cascade</t>
  </si>
  <si>
    <t>Mapuche</t>
  </si>
  <si>
    <t>Malta</t>
  </si>
  <si>
    <t>Peso [Kg]</t>
  </si>
  <si>
    <t>Color [°L]</t>
  </si>
  <si>
    <t>MCU</t>
  </si>
  <si>
    <t>Carbonatación</t>
  </si>
  <si>
    <t>Origen</t>
  </si>
  <si>
    <t>CaraAmber</t>
  </si>
  <si>
    <t>CaraRed</t>
  </si>
  <si>
    <t>CaraAroma</t>
  </si>
  <si>
    <t>CaraPils</t>
  </si>
  <si>
    <t>Carafa I</t>
  </si>
  <si>
    <t>Carafa II</t>
  </si>
  <si>
    <t>Caramelo 30</t>
  </si>
  <si>
    <t>Caramelo 60</t>
  </si>
  <si>
    <t>Caramelo 120</t>
  </si>
  <si>
    <t>Malta Negra</t>
  </si>
  <si>
    <t>Malta Chocolate</t>
  </si>
  <si>
    <t>Malta de Trigo</t>
  </si>
  <si>
    <t>Pilsen</t>
  </si>
  <si>
    <t>Pale Ale</t>
  </si>
  <si>
    <t>Alemania</t>
  </si>
  <si>
    <t>Argentina</t>
  </si>
  <si>
    <t>Tipo</t>
  </si>
  <si>
    <t>D. Original:</t>
  </si>
  <si>
    <t>D. Final:</t>
  </si>
  <si>
    <t>Antes de Hervir:</t>
  </si>
  <si>
    <t>Después de Hervir:</t>
  </si>
  <si>
    <t>Nombre de la Receta:</t>
  </si>
  <si>
    <t>Tiempo de Hervor [min]:</t>
  </si>
  <si>
    <t>Rendimiento [%]:</t>
  </si>
  <si>
    <t>E. Original [°P-°Bx]:</t>
  </si>
  <si>
    <t>E. Final [°P-°Bx]:</t>
  </si>
  <si>
    <t>Extracto [°P-°Bx]:</t>
  </si>
  <si>
    <t>Concentración [% m/m]:</t>
  </si>
  <si>
    <t>Despúes de Hervir</t>
  </si>
  <si>
    <t>Densidad Específica:</t>
  </si>
  <si>
    <t>Conc. Original [% m/m]:</t>
  </si>
  <si>
    <t>Ext. Original [°P-°Bx]:</t>
  </si>
  <si>
    <t>Densidad Original:</t>
  </si>
  <si>
    <t>SRM Estimado:</t>
  </si>
  <si>
    <t>Cantidad [gr]</t>
  </si>
  <si>
    <t>Uso</t>
  </si>
  <si>
    <t>Amargo</t>
  </si>
  <si>
    <t>Dual</t>
  </si>
  <si>
    <t>Aroma</t>
  </si>
  <si>
    <t>Tiempo [min]</t>
  </si>
  <si>
    <t>% Util.</t>
  </si>
  <si>
    <t>Mandarina Bavaria</t>
  </si>
  <si>
    <t>Hallertau Herkules</t>
  </si>
  <si>
    <t>IBU Total</t>
  </si>
  <si>
    <t>IBU [mgAA/l]</t>
  </si>
  <si>
    <t>Empaste</t>
  </si>
  <si>
    <t>Maceración</t>
  </si>
  <si>
    <t>Escalón 2</t>
  </si>
  <si>
    <t>Escalón 1</t>
  </si>
  <si>
    <t>Escalón 3</t>
  </si>
  <si>
    <t>Mash Out</t>
  </si>
  <si>
    <t>R [l/kg]</t>
  </si>
  <si>
    <t>Vol. [l]</t>
  </si>
  <si>
    <t>Temp1 [°C]</t>
  </si>
  <si>
    <t>Temp2 [°C]</t>
  </si>
  <si>
    <t>Temp3 [°C]</t>
  </si>
  <si>
    <t>Volumen [l]</t>
  </si>
  <si>
    <t>Whirlpool: 10 min</t>
  </si>
  <si>
    <t>FWH: 80 min</t>
  </si>
  <si>
    <t>Maltas</t>
  </si>
  <si>
    <t>Extracto [kg]</t>
  </si>
  <si>
    <t>Lúpulos</t>
  </si>
  <si>
    <t>Levadura:</t>
  </si>
  <si>
    <t>Atenuación:</t>
  </si>
  <si>
    <t>Densidad Final (DF):</t>
  </si>
  <si>
    <t>Extracto Aparente [°Bx -°P]:</t>
  </si>
  <si>
    <t>Coef. De Atenuación (q):</t>
  </si>
  <si>
    <t>Extracto Real [°Bx - °P]:</t>
  </si>
  <si>
    <t>% Alcohol [m/m]:</t>
  </si>
  <si>
    <t>% Alcohol [v/v]:</t>
  </si>
  <si>
    <t>Temperatura [°C]</t>
  </si>
  <si>
    <t>Volúmenes de CO2 [l]</t>
  </si>
  <si>
    <t>Sacarosa [gr/Lts]:</t>
  </si>
  <si>
    <t>%Alcohol [V/V]:</t>
  </si>
  <si>
    <t>IBU [mgiAA/l]:</t>
  </si>
  <si>
    <t>Estilo:</t>
  </si>
  <si>
    <t>Inicio Recirculado [hs]:</t>
  </si>
  <si>
    <t>1° Lúpulo [hs]:</t>
  </si>
  <si>
    <t>Fecha:</t>
  </si>
  <si>
    <t>Temperatura:</t>
  </si>
  <si>
    <t>Sales:</t>
  </si>
  <si>
    <t>ClNa:</t>
  </si>
  <si>
    <t>pH:</t>
  </si>
  <si>
    <r>
      <t>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Ca:</t>
    </r>
  </si>
  <si>
    <r>
      <t>CaCO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:</t>
    </r>
  </si>
  <si>
    <r>
      <t>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Ca:</t>
    </r>
  </si>
  <si>
    <r>
      <t>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Mg:</t>
    </r>
  </si>
  <si>
    <t>Agua de Lavado [°C]:</t>
  </si>
  <si>
    <t>Ultimo Mosto [DE]:</t>
  </si>
  <si>
    <t>Variedad:</t>
  </si>
  <si>
    <t>Fin de Whirlpool [hs]:</t>
  </si>
  <si>
    <t>Fin de Enfriado [hs]:</t>
  </si>
  <si>
    <t>Inic. Llenado de Olla [hs]:</t>
  </si>
  <si>
    <t>Ini. Hervor [hs]:</t>
  </si>
  <si>
    <t>2° Lúpulo [hs]:</t>
  </si>
  <si>
    <t>3° Lúpulo [hs]:</t>
  </si>
  <si>
    <t>4° Lúpulo [hs]:</t>
  </si>
  <si>
    <t>5° Lúpulo [hs]:</t>
  </si>
  <si>
    <t>6° Lúpulo [hs]:</t>
  </si>
  <si>
    <t>Ppitante de olla [hs]:</t>
  </si>
  <si>
    <t>Inic. de Whirlpool [hs]:</t>
  </si>
  <si>
    <t>Inic. de Enfriado [hs]:</t>
  </si>
  <si>
    <t>Inic. Maceración [hs]:</t>
  </si>
  <si>
    <t>Densidad Original [DO]:</t>
  </si>
  <si>
    <t>7° Lúpulo [hs]:</t>
  </si>
  <si>
    <t>8° Lúpulo [hs]:</t>
  </si>
  <si>
    <t>9° Lúpulo [hs]:</t>
  </si>
  <si>
    <t>10° Lúpulo [hs]:</t>
  </si>
  <si>
    <t>Densidad [DE]:</t>
  </si>
  <si>
    <t>Densidad Original (DO):</t>
  </si>
  <si>
    <t>Volumen [l]:</t>
  </si>
  <si>
    <t>Extracto [kg]:</t>
  </si>
  <si>
    <t>Evaporación [l/min]:</t>
  </si>
  <si>
    <t>Evaporación [l/hs]:</t>
  </si>
  <si>
    <t>Evaporación [%hs]:</t>
  </si>
  <si>
    <t>Rendimiento:</t>
  </si>
  <si>
    <t>%Rendimiento:</t>
  </si>
  <si>
    <t>Cantidad de Malta [Kg]:</t>
  </si>
  <si>
    <t>Extracto Original [°P-°Bx]:</t>
  </si>
  <si>
    <t>Densidad Final:</t>
  </si>
  <si>
    <t>Extracto Aparente [°P - °Bx]:</t>
  </si>
  <si>
    <t>Extracto Real [°P - °Bx]:</t>
  </si>
  <si>
    <t>Atenuación Aparente:</t>
  </si>
  <si>
    <t>Atenuación Real:</t>
  </si>
  <si>
    <t>INFORME</t>
  </si>
  <si>
    <t>Receta</t>
  </si>
  <si>
    <t>HOJA DE COCCIÓN</t>
  </si>
  <si>
    <t>Relación agua/grano [l/kg]</t>
  </si>
  <si>
    <t>Base</t>
  </si>
  <si>
    <t>Caramelo</t>
  </si>
  <si>
    <t>Tostada</t>
  </si>
  <si>
    <t>Cationes</t>
  </si>
  <si>
    <t>Dureza</t>
  </si>
  <si>
    <r>
      <t>Calcio (Ca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):</t>
    </r>
  </si>
  <si>
    <t>mg/l</t>
  </si>
  <si>
    <t>Dureza total:</t>
  </si>
  <si>
    <r>
      <t>mg/l de CaCO</t>
    </r>
    <r>
      <rPr>
        <vertAlign val="subscript"/>
        <sz val="11"/>
        <color theme="1"/>
        <rFont val="Calibri"/>
        <family val="2"/>
        <scheme val="minor"/>
      </rPr>
      <t>3</t>
    </r>
  </si>
  <si>
    <r>
      <t>Magnesio (Mg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>):</t>
    </r>
  </si>
  <si>
    <t>Dureza permanente:</t>
  </si>
  <si>
    <r>
      <t>Sodio (Na</t>
    </r>
    <r>
      <rPr>
        <vertAlign val="superscript"/>
        <sz val="11"/>
        <color theme="1"/>
        <rFont val="Calibri"/>
        <family val="2"/>
        <scheme val="minor"/>
      </rPr>
      <t>1+</t>
    </r>
    <r>
      <rPr>
        <sz val="11"/>
        <color theme="1"/>
        <rFont val="Calibri"/>
        <family val="2"/>
        <scheme val="minor"/>
      </rPr>
      <t>):</t>
    </r>
  </si>
  <si>
    <r>
      <t>Dureza temporaria</t>
    </r>
    <r>
      <rPr>
        <sz val="11"/>
        <color theme="1"/>
        <rFont val="Calibri"/>
        <family val="2"/>
        <scheme val="minor"/>
      </rPr>
      <t>:</t>
    </r>
  </si>
  <si>
    <r>
      <t>Potasio (K</t>
    </r>
    <r>
      <rPr>
        <vertAlign val="superscript"/>
        <sz val="11"/>
        <color theme="1"/>
        <rFont val="Calibri"/>
        <family val="2"/>
        <scheme val="minor"/>
      </rPr>
      <t>1+</t>
    </r>
    <r>
      <rPr>
        <sz val="11"/>
        <color theme="1"/>
        <rFont val="Calibri"/>
        <family val="2"/>
        <scheme val="minor"/>
      </rPr>
      <t>):</t>
    </r>
  </si>
  <si>
    <t>Hierro (Fe):</t>
  </si>
  <si>
    <t>Alcalinidad</t>
  </si>
  <si>
    <t>mEq/l</t>
  </si>
  <si>
    <t>Alcalinidad:</t>
  </si>
  <si>
    <t>Aniones</t>
  </si>
  <si>
    <t>Estimación de Bicarbonato/Carbonato</t>
  </si>
  <si>
    <r>
      <t>Bicarbonato (HCO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1-</t>
    </r>
    <r>
      <rPr>
        <sz val="11"/>
        <color theme="1"/>
        <rFont val="Calibri"/>
        <family val="2"/>
        <scheme val="minor"/>
      </rPr>
      <t>):</t>
    </r>
  </si>
  <si>
    <r>
      <t>Carbonato (CO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2-</t>
    </r>
    <r>
      <rPr>
        <sz val="11"/>
        <color theme="1"/>
        <rFont val="Calibri"/>
        <family val="2"/>
        <scheme val="minor"/>
      </rPr>
      <t>):</t>
    </r>
  </si>
  <si>
    <r>
      <t>Sulfato (SO</t>
    </r>
    <r>
      <rPr>
        <vertAlign val="sub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2-</t>
    </r>
    <r>
      <rPr>
        <sz val="11"/>
        <color theme="1"/>
        <rFont val="Calibri"/>
        <family val="2"/>
        <scheme val="minor"/>
      </rPr>
      <t>):</t>
    </r>
  </si>
  <si>
    <r>
      <t>Cloruro (Cl</t>
    </r>
    <r>
      <rPr>
        <vertAlign val="superscript"/>
        <sz val="11"/>
        <color theme="1"/>
        <rFont val="Calibri"/>
        <family val="2"/>
        <scheme val="minor"/>
      </rPr>
      <t>1-</t>
    </r>
    <r>
      <rPr>
        <sz val="11"/>
        <color theme="1"/>
        <rFont val="Calibri"/>
        <family val="2"/>
        <scheme val="minor"/>
      </rPr>
      <t>):</t>
    </r>
  </si>
  <si>
    <r>
      <t>Fluoruro (F</t>
    </r>
    <r>
      <rPr>
        <vertAlign val="superscript"/>
        <sz val="11"/>
        <color theme="1"/>
        <rFont val="Calibri"/>
        <family val="2"/>
        <scheme val="minor"/>
      </rPr>
      <t>1-</t>
    </r>
    <r>
      <rPr>
        <sz val="11"/>
        <color theme="1"/>
        <rFont val="Calibri"/>
        <family val="2"/>
        <scheme val="minor"/>
      </rPr>
      <t>):</t>
    </r>
  </si>
  <si>
    <t>Balance Iónico</t>
  </si>
  <si>
    <t>Burton</t>
  </si>
  <si>
    <t>Dortmund</t>
  </si>
  <si>
    <t>Dublin</t>
  </si>
  <si>
    <t>Edinburgh</t>
  </si>
  <si>
    <t>London</t>
  </si>
  <si>
    <t>Munich</t>
  </si>
  <si>
    <t>Vienna</t>
  </si>
  <si>
    <t>Dusseldorf</t>
  </si>
  <si>
    <t>Brussels</t>
  </si>
  <si>
    <t>Hoegaarden</t>
  </si>
  <si>
    <t>Orval</t>
  </si>
  <si>
    <t>Rochefort</t>
  </si>
  <si>
    <t>Chimay</t>
  </si>
  <si>
    <t>American Lager</t>
  </si>
  <si>
    <t>Perfil de Agua</t>
  </si>
  <si>
    <t>Cationes [mEq/l]</t>
  </si>
  <si>
    <t>Aniones [mEq/l]</t>
  </si>
  <si>
    <t>Dublin (hervida)</t>
  </si>
  <si>
    <t>Edinburgh (hervida)</t>
  </si>
  <si>
    <t>London (hervida)</t>
  </si>
  <si>
    <t>Munich (hervida)</t>
  </si>
  <si>
    <t>Vienna (hervida)</t>
  </si>
  <si>
    <t>Dusseldorf (hervida)</t>
  </si>
  <si>
    <t>Brussels (hervida)</t>
  </si>
  <si>
    <t>Hoegaarden (hervida)</t>
  </si>
  <si>
    <t>Orval (hervida)</t>
  </si>
  <si>
    <t>Rochefort (hervida)</t>
  </si>
  <si>
    <t>Chimay (hervida)</t>
  </si>
  <si>
    <t>Agua Original</t>
  </si>
  <si>
    <t>Dilución con:</t>
  </si>
  <si>
    <t>Porcentaje de Dilución:</t>
  </si>
  <si>
    <t>Modificación [mg/l]:</t>
  </si>
  <si>
    <t>[gr]</t>
  </si>
  <si>
    <t>Masa Molecular Relativa</t>
  </si>
  <si>
    <t>Masa Atómica Relativa</t>
  </si>
  <si>
    <t>pK1</t>
  </si>
  <si>
    <t>pK2</t>
  </si>
  <si>
    <t>pK3</t>
  </si>
  <si>
    <t>N</t>
  </si>
  <si>
    <t>M</t>
  </si>
  <si>
    <t>frac</t>
  </si>
  <si>
    <t>Concentración:</t>
  </si>
  <si>
    <t>Acido</t>
  </si>
  <si>
    <t>Láctico</t>
  </si>
  <si>
    <t>Sulfúrico</t>
  </si>
  <si>
    <t>Cítrico</t>
  </si>
  <si>
    <t>Acido1:</t>
  </si>
  <si>
    <t>Acido 2:</t>
  </si>
  <si>
    <t>Acido 3:</t>
  </si>
  <si>
    <t>pH estimado:</t>
  </si>
  <si>
    <t>Diferencia cationes/aniones:</t>
  </si>
  <si>
    <t>Consultar con el laboratorio la diferencia</t>
  </si>
  <si>
    <t xml:space="preserve"> existente entre aniones y cationes.</t>
  </si>
  <si>
    <t>NaCl:</t>
  </si>
  <si>
    <r>
      <t>CaSO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 xml:space="preserve"> x 2H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O:</t>
    </r>
  </si>
  <si>
    <r>
      <t>MgSO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sz val="10"/>
        <color theme="1"/>
        <rFont val="Calibri"/>
        <family val="2"/>
        <scheme val="minor"/>
      </rPr>
      <t xml:space="preserve"> x 7H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O:</t>
    </r>
  </si>
  <si>
    <r>
      <t xml:space="preserve"> CaCl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x 2H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O:</t>
    </r>
  </si>
  <si>
    <r>
      <t xml:space="preserve"> MgCl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x 6H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O:</t>
    </r>
  </si>
  <si>
    <r>
      <t>CaCO</t>
    </r>
    <r>
      <rPr>
        <b/>
        <vertAlign val="sub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:</t>
    </r>
  </si>
  <si>
    <r>
      <t>NaHCO</t>
    </r>
    <r>
      <rPr>
        <b/>
        <vertAlign val="sub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:</t>
    </r>
  </si>
  <si>
    <r>
      <t>Ca(OH)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:</t>
    </r>
  </si>
  <si>
    <t>Burton (Hervida)</t>
  </si>
  <si>
    <r>
      <t>Calcio (Ca</t>
    </r>
    <r>
      <rPr>
        <b/>
        <vertAlign val="superscript"/>
        <sz val="10"/>
        <color theme="1"/>
        <rFont val="Calibri"/>
        <family val="2"/>
        <scheme val="minor"/>
      </rPr>
      <t>2+</t>
    </r>
    <r>
      <rPr>
        <b/>
        <sz val="10"/>
        <color theme="1"/>
        <rFont val="Calibri"/>
        <family val="2"/>
        <scheme val="minor"/>
      </rPr>
      <t>)[mg/l]</t>
    </r>
  </si>
  <si>
    <r>
      <t>Magnesio (Mg</t>
    </r>
    <r>
      <rPr>
        <b/>
        <vertAlign val="superscript"/>
        <sz val="10"/>
        <color theme="1"/>
        <rFont val="Calibri"/>
        <family val="2"/>
        <scheme val="minor"/>
      </rPr>
      <t>2+</t>
    </r>
    <r>
      <rPr>
        <b/>
        <sz val="10"/>
        <color theme="1"/>
        <rFont val="Calibri"/>
        <family val="2"/>
        <scheme val="minor"/>
      </rPr>
      <t>) [mg/l]</t>
    </r>
  </si>
  <si>
    <r>
      <t>Sodio (Na</t>
    </r>
    <r>
      <rPr>
        <b/>
        <vertAlign val="superscript"/>
        <sz val="10"/>
        <color theme="1"/>
        <rFont val="Calibri"/>
        <family val="2"/>
        <scheme val="minor"/>
      </rPr>
      <t>1+</t>
    </r>
    <r>
      <rPr>
        <b/>
        <sz val="10"/>
        <color theme="1"/>
        <rFont val="Calibri"/>
        <family val="2"/>
        <scheme val="minor"/>
      </rPr>
      <t>) [mg/l]</t>
    </r>
  </si>
  <si>
    <r>
      <t>Sulfato (SO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vertAlign val="superscript"/>
        <sz val="10"/>
        <color theme="1"/>
        <rFont val="Calibri"/>
        <family val="2"/>
        <scheme val="minor"/>
      </rPr>
      <t>2-</t>
    </r>
    <r>
      <rPr>
        <b/>
        <sz val="10"/>
        <color theme="1"/>
        <rFont val="Calibri"/>
        <family val="2"/>
        <scheme val="minor"/>
      </rPr>
      <t>) [mg/l]</t>
    </r>
  </si>
  <si>
    <r>
      <t>Cloruro (Cl</t>
    </r>
    <r>
      <rPr>
        <b/>
        <vertAlign val="superscript"/>
        <sz val="10"/>
        <color theme="1"/>
        <rFont val="Calibri"/>
        <family val="2"/>
        <scheme val="minor"/>
      </rPr>
      <t>1-</t>
    </r>
    <r>
      <rPr>
        <b/>
        <sz val="10"/>
        <color theme="1"/>
        <rFont val="Calibri"/>
        <family val="2"/>
        <scheme val="minor"/>
      </rPr>
      <t>) [mg/l]</t>
    </r>
  </si>
  <si>
    <r>
      <t>Bicarbonato (HCO</t>
    </r>
    <r>
      <rPr>
        <b/>
        <vertAlign val="subscript"/>
        <sz val="10"/>
        <color theme="1"/>
        <rFont val="Calibri"/>
        <family val="2"/>
        <scheme val="minor"/>
      </rPr>
      <t>3</t>
    </r>
    <r>
      <rPr>
        <b/>
        <vertAlign val="superscript"/>
        <sz val="10"/>
        <color theme="1"/>
        <rFont val="Calibri"/>
        <family val="2"/>
        <scheme val="minor"/>
      </rPr>
      <t>1-</t>
    </r>
    <r>
      <rPr>
        <b/>
        <sz val="10"/>
        <color theme="1"/>
        <rFont val="Calibri"/>
        <family val="2"/>
        <scheme val="minor"/>
      </rPr>
      <t>) [mg/l]</t>
    </r>
  </si>
  <si>
    <r>
      <t>Dureza total [mg/l de CaCO</t>
    </r>
    <r>
      <rPr>
        <b/>
        <vertAlign val="sub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]</t>
    </r>
  </si>
  <si>
    <t>Alcalinidad Residual (AR) [mg/l de CaCO3]</t>
  </si>
  <si>
    <r>
      <t>SO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vertAlign val="superscript"/>
        <sz val="10"/>
        <color theme="1"/>
        <rFont val="Calibri"/>
        <family val="2"/>
        <scheme val="minor"/>
      </rPr>
      <t>2-</t>
    </r>
    <r>
      <rPr>
        <b/>
        <sz val="10"/>
        <color theme="1"/>
        <rFont val="Calibri"/>
        <family val="2"/>
        <scheme val="minor"/>
      </rPr>
      <t>/Cl</t>
    </r>
    <r>
      <rPr>
        <b/>
        <vertAlign val="superscript"/>
        <sz val="10"/>
        <color theme="1"/>
        <rFont val="Calibri"/>
        <family val="2"/>
        <scheme val="minor"/>
      </rPr>
      <t>1-</t>
    </r>
  </si>
  <si>
    <t>Azufre (S):</t>
  </si>
  <si>
    <t>Oxígeno (O):</t>
  </si>
  <si>
    <t>Calcio (Ca):</t>
  </si>
  <si>
    <t>Carbono (C):</t>
  </si>
  <si>
    <t>Cloro (Cl)</t>
  </si>
  <si>
    <t>Magnesio (Mg)</t>
  </si>
  <si>
    <t>Sodio (Na)</t>
  </si>
  <si>
    <t>Hidrógeno (H)</t>
  </si>
  <si>
    <t>Sulfato</t>
  </si>
  <si>
    <t>Carbonato</t>
  </si>
  <si>
    <t>Agua</t>
  </si>
  <si>
    <t>Oxidrilo</t>
  </si>
  <si>
    <r>
      <t>HO</t>
    </r>
    <r>
      <rPr>
        <b/>
        <vertAlign val="superscript"/>
        <sz val="11"/>
        <color theme="1"/>
        <rFont val="Calibri"/>
        <family val="2"/>
        <scheme val="minor"/>
      </rPr>
      <t>1-</t>
    </r>
  </si>
  <si>
    <r>
      <t>SO</t>
    </r>
    <r>
      <rPr>
        <b/>
        <vertAlign val="subscript"/>
        <sz val="10"/>
        <color theme="1"/>
        <rFont val="Calibri"/>
        <family val="2"/>
        <scheme val="minor"/>
      </rPr>
      <t>4</t>
    </r>
    <r>
      <rPr>
        <b/>
        <vertAlign val="superscript"/>
        <sz val="10"/>
        <color theme="1"/>
        <rFont val="Calibri"/>
        <family val="2"/>
        <scheme val="minor"/>
      </rPr>
      <t>2-</t>
    </r>
  </si>
  <si>
    <r>
      <t>CO</t>
    </r>
    <r>
      <rPr>
        <b/>
        <vertAlign val="subscript"/>
        <sz val="10"/>
        <color theme="1"/>
        <rFont val="Calibri"/>
        <family val="2"/>
        <scheme val="minor"/>
      </rPr>
      <t>3</t>
    </r>
    <r>
      <rPr>
        <b/>
        <vertAlign val="superscript"/>
        <sz val="10"/>
        <color theme="1"/>
        <rFont val="Calibri"/>
        <family val="2"/>
        <scheme val="minor"/>
      </rPr>
      <t>2-</t>
    </r>
  </si>
  <si>
    <r>
      <t>H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</t>
    </r>
  </si>
  <si>
    <t>Sulfato de calcio (gypsum):</t>
  </si>
  <si>
    <t>Sulfato de magnesio (epson salt):</t>
  </si>
  <si>
    <t>Cloruro de sodio (canning salt):</t>
  </si>
  <si>
    <t>Cloruro de magnesio:</t>
  </si>
  <si>
    <t>Carbonato de calcio (chalk):</t>
  </si>
  <si>
    <t>Bicarbonato de sodio (baking soda):</t>
  </si>
  <si>
    <t>Hidróxido de calcio (pickling lime):</t>
  </si>
  <si>
    <t>Alcalinidad total:</t>
  </si>
  <si>
    <t>Me falta para llegar [mg/l]:</t>
  </si>
  <si>
    <t>Cloruro de calcio:</t>
  </si>
  <si>
    <t>Concentración final de Iones [mg/l]:</t>
  </si>
  <si>
    <t>Alcalinidad [mg/l de CaCO3]</t>
  </si>
  <si>
    <t>Potasio (k)</t>
  </si>
  <si>
    <t>Hierro (Fe)</t>
  </si>
  <si>
    <r>
      <t>Nitrato (NO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1-</t>
    </r>
    <r>
      <rPr>
        <sz val="11"/>
        <color theme="1"/>
        <rFont val="Calibri"/>
        <family val="2"/>
        <scheme val="minor"/>
      </rPr>
      <t>):</t>
    </r>
  </si>
  <si>
    <r>
      <t>Nitrito (NO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1-</t>
    </r>
    <r>
      <rPr>
        <sz val="11"/>
        <color theme="1"/>
        <rFont val="Calibri"/>
        <family val="2"/>
        <scheme val="minor"/>
      </rPr>
      <t>):</t>
    </r>
  </si>
  <si>
    <r>
      <t>Calcio (Ca</t>
    </r>
    <r>
      <rPr>
        <b/>
        <vertAlign val="superscript"/>
        <sz val="11"/>
        <color theme="0"/>
        <rFont val="Calibri"/>
        <family val="2"/>
        <scheme val="minor"/>
      </rPr>
      <t>2+</t>
    </r>
    <r>
      <rPr>
        <b/>
        <sz val="11"/>
        <color theme="0"/>
        <rFont val="Calibri"/>
        <family val="2"/>
        <scheme val="minor"/>
      </rPr>
      <t>)[mg/l]</t>
    </r>
  </si>
  <si>
    <r>
      <t>Magnesio (Mg</t>
    </r>
    <r>
      <rPr>
        <b/>
        <vertAlign val="superscript"/>
        <sz val="11"/>
        <color theme="0"/>
        <rFont val="Calibri"/>
        <family val="2"/>
        <scheme val="minor"/>
      </rPr>
      <t>2+</t>
    </r>
    <r>
      <rPr>
        <b/>
        <sz val="11"/>
        <color theme="0"/>
        <rFont val="Calibri"/>
        <family val="2"/>
        <scheme val="minor"/>
      </rPr>
      <t>) [mg/l]</t>
    </r>
  </si>
  <si>
    <r>
      <t>Sodio (Na</t>
    </r>
    <r>
      <rPr>
        <b/>
        <vertAlign val="superscript"/>
        <sz val="11"/>
        <color theme="0"/>
        <rFont val="Calibri"/>
        <family val="2"/>
        <scheme val="minor"/>
      </rPr>
      <t>1+</t>
    </r>
    <r>
      <rPr>
        <b/>
        <sz val="11"/>
        <color theme="0"/>
        <rFont val="Calibri"/>
        <family val="2"/>
        <scheme val="minor"/>
      </rPr>
      <t>) [mg/l]</t>
    </r>
  </si>
  <si>
    <r>
      <t>Sulfato (SO</t>
    </r>
    <r>
      <rPr>
        <b/>
        <vertAlign val="subscript"/>
        <sz val="11"/>
        <color theme="0"/>
        <rFont val="Calibri"/>
        <family val="2"/>
        <scheme val="minor"/>
      </rPr>
      <t>4</t>
    </r>
    <r>
      <rPr>
        <b/>
        <vertAlign val="superscript"/>
        <sz val="11"/>
        <color theme="0"/>
        <rFont val="Calibri"/>
        <family val="2"/>
        <scheme val="minor"/>
      </rPr>
      <t>2-</t>
    </r>
    <r>
      <rPr>
        <b/>
        <sz val="11"/>
        <color theme="0"/>
        <rFont val="Calibri"/>
        <family val="2"/>
        <scheme val="minor"/>
      </rPr>
      <t>) [mg/l]</t>
    </r>
  </si>
  <si>
    <r>
      <t>Cloruro (Cl</t>
    </r>
    <r>
      <rPr>
        <b/>
        <vertAlign val="superscript"/>
        <sz val="11"/>
        <color theme="0"/>
        <rFont val="Calibri"/>
        <family val="2"/>
        <scheme val="minor"/>
      </rPr>
      <t>1-</t>
    </r>
    <r>
      <rPr>
        <b/>
        <sz val="11"/>
        <color theme="0"/>
        <rFont val="Calibri"/>
        <family val="2"/>
        <scheme val="minor"/>
      </rPr>
      <t>) [mg/l]</t>
    </r>
  </si>
  <si>
    <r>
      <t>Bicarbonato (HCO</t>
    </r>
    <r>
      <rPr>
        <b/>
        <vertAlign val="subscript"/>
        <sz val="11"/>
        <color theme="0"/>
        <rFont val="Calibri"/>
        <family val="2"/>
        <scheme val="minor"/>
      </rPr>
      <t>3</t>
    </r>
    <r>
      <rPr>
        <b/>
        <vertAlign val="superscript"/>
        <sz val="11"/>
        <color theme="0"/>
        <rFont val="Calibri"/>
        <family val="2"/>
        <scheme val="minor"/>
      </rPr>
      <t>1-</t>
    </r>
    <r>
      <rPr>
        <b/>
        <sz val="11"/>
        <color theme="0"/>
        <rFont val="Calibri"/>
        <family val="2"/>
        <scheme val="minor"/>
      </rPr>
      <t>) [mg/l]</t>
    </r>
  </si>
  <si>
    <t>pH del agua de origen:</t>
  </si>
  <si>
    <t>Concentración del ácido:</t>
  </si>
  <si>
    <t>Alcalinidad final:</t>
  </si>
  <si>
    <t>Porcentaje de dilución:</t>
  </si>
  <si>
    <t>Alcalinidad del agua diluida:</t>
  </si>
  <si>
    <t>Alcalinidad del agua de origen:</t>
  </si>
  <si>
    <t>pH del agua diluida:</t>
  </si>
  <si>
    <t>Volumen del agua a tratar:</t>
  </si>
  <si>
    <t>litros</t>
  </si>
  <si>
    <t>Agua destilada</t>
  </si>
  <si>
    <t>Agua de ósmosis</t>
  </si>
  <si>
    <t>S/diluir</t>
  </si>
  <si>
    <t>Fosfórico</t>
  </si>
  <si>
    <t>10^(pH-pK1)</t>
  </si>
  <si>
    <t>10^(pH-pK2)</t>
  </si>
  <si>
    <t>1+r1+r1*r2</t>
  </si>
  <si>
    <t>1/d</t>
  </si>
  <si>
    <t>f1*r1</t>
  </si>
  <si>
    <t>f2*r2</t>
  </si>
  <si>
    <t>r1o</t>
  </si>
  <si>
    <t>r2o</t>
  </si>
  <si>
    <t>do</t>
  </si>
  <si>
    <t>f1o</t>
  </si>
  <si>
    <t>f2o</t>
  </si>
  <si>
    <t>f3o</t>
  </si>
  <si>
    <t>pH Final</t>
  </si>
  <si>
    <t>r1F</t>
  </si>
  <si>
    <t>r2F</t>
  </si>
  <si>
    <t>dF</t>
  </si>
  <si>
    <t>f1F</t>
  </si>
  <si>
    <t>f2F</t>
  </si>
  <si>
    <t>f3F</t>
  </si>
  <si>
    <t>Acido2</t>
  </si>
  <si>
    <t>Acido1</t>
  </si>
  <si>
    <t>Acido3</t>
  </si>
  <si>
    <t>Acido4</t>
  </si>
  <si>
    <t>r1Al</t>
  </si>
  <si>
    <t>r2Al</t>
  </si>
  <si>
    <t>dAl</t>
  </si>
  <si>
    <t>f1Al</t>
  </si>
  <si>
    <t>f2Al</t>
  </si>
  <si>
    <t>f3Al</t>
  </si>
  <si>
    <t>r1Ac</t>
  </si>
  <si>
    <t>r2Ac</t>
  </si>
  <si>
    <t>r3Ac</t>
  </si>
  <si>
    <t>dAc</t>
  </si>
  <si>
    <t>f1Ac</t>
  </si>
  <si>
    <t>f2Ac</t>
  </si>
  <si>
    <t>f3Ac</t>
  </si>
  <si>
    <t>10^(ph-pK1)</t>
  </si>
  <si>
    <t>10^(ph-pK2)</t>
  </si>
  <si>
    <t>10^(ph-pK3)</t>
  </si>
  <si>
    <t>1/dAc</t>
  </si>
  <si>
    <t>(1+r1Ac+r1Ac*r2Ac+r1Ac*r2Ac*r3Ac)</t>
  </si>
  <si>
    <t>f4ac</t>
  </si>
  <si>
    <t>f1Ac*r1Ac</t>
  </si>
  <si>
    <t>r2Ac*F2Ac</t>
  </si>
  <si>
    <t>r3Ac*F3Ac</t>
  </si>
  <si>
    <t>Cloruro</t>
  </si>
  <si>
    <t>Citrato</t>
  </si>
  <si>
    <t>Lactato</t>
  </si>
  <si>
    <t>Fosfato</t>
  </si>
  <si>
    <t>Sólido</t>
  </si>
  <si>
    <t>mMr</t>
  </si>
  <si>
    <t>Acido 1:</t>
  </si>
  <si>
    <t>Acido 4:</t>
  </si>
  <si>
    <t>Marca</t>
  </si>
  <si>
    <t>Maltear</t>
  </si>
  <si>
    <t>TaiPan</t>
  </si>
  <si>
    <t>Wayermann</t>
  </si>
  <si>
    <t>Columna1</t>
  </si>
  <si>
    <t>Agua de Empaste [l]</t>
  </si>
  <si>
    <t>Agua de Lavado [l]</t>
  </si>
  <si>
    <t>mMr Ion</t>
  </si>
  <si>
    <t>Acido 1</t>
  </si>
  <si>
    <t>Acido 2</t>
  </si>
  <si>
    <t>Acido 3</t>
  </si>
  <si>
    <t>Acido 4</t>
  </si>
  <si>
    <t>r2Ac*f2Ac</t>
  </si>
  <si>
    <t>r3Ac*f3Ac</t>
  </si>
  <si>
    <t>f2Ac+2*F3Ac+3*f4Ac</t>
  </si>
  <si>
    <t>f2Ac+2*f3Ac+3*f4Ac</t>
  </si>
  <si>
    <r>
      <t>HCO</t>
    </r>
    <r>
      <rPr>
        <b/>
        <vertAlign val="subscript"/>
        <sz val="10"/>
        <color theme="1"/>
        <rFont val="Calibri"/>
        <family val="2"/>
        <scheme val="minor"/>
      </rPr>
      <t>3</t>
    </r>
    <r>
      <rPr>
        <b/>
        <vertAlign val="superscript"/>
        <sz val="10"/>
        <color theme="1"/>
        <rFont val="Calibri"/>
        <family val="2"/>
        <scheme val="minor"/>
      </rPr>
      <t>1-</t>
    </r>
  </si>
  <si>
    <t>Mild Ale</t>
  </si>
  <si>
    <t>Dorada maltosa</t>
  </si>
  <si>
    <t>Dorada balanceada</t>
  </si>
  <si>
    <t>Dorada amarga</t>
  </si>
  <si>
    <t>Ambar maltosa</t>
  </si>
  <si>
    <t>Ambar balanceada</t>
  </si>
  <si>
    <t>Ambar amarga</t>
  </si>
  <si>
    <t>Marrón maltosa</t>
  </si>
  <si>
    <t>Marrón balanceada</t>
  </si>
  <si>
    <t>Marrón amarga</t>
  </si>
  <si>
    <t>Negra maltosa</t>
  </si>
  <si>
    <t>Negra balanceada</t>
  </si>
  <si>
    <t>Negra amarga</t>
  </si>
  <si>
    <t>Bicarbonato</t>
  </si>
  <si>
    <t>gr</t>
  </si>
  <si>
    <t>Ingrese la información del informe del laboratorio</t>
  </si>
  <si>
    <t>Masa  Atómica Relativa</t>
  </si>
  <si>
    <t>Equivalentes</t>
  </si>
  <si>
    <t>pH Orig. O dil.</t>
  </si>
  <si>
    <t>d</t>
  </si>
  <si>
    <t>f1 = Fracción molar de Ac. Carbónico</t>
  </si>
  <si>
    <t>f2 = Fracción molar de Bicarbonato</t>
  </si>
  <si>
    <t>f3 = Fracción molar de Ac. Carbonato</t>
  </si>
  <si>
    <t>pH Alca</t>
  </si>
  <si>
    <r>
      <t>r1 = [HCO</t>
    </r>
    <r>
      <rPr>
        <b/>
        <vertAlign val="subscript"/>
        <sz val="11"/>
        <color theme="0"/>
        <rFont val="Calibri"/>
        <family val="2"/>
        <scheme val="minor"/>
      </rPr>
      <t>3</t>
    </r>
    <r>
      <rPr>
        <b/>
        <vertAlign val="superscript"/>
        <sz val="11"/>
        <color theme="0"/>
        <rFont val="Calibri"/>
        <family val="2"/>
        <scheme val="minor"/>
      </rPr>
      <t>1-</t>
    </r>
    <r>
      <rPr>
        <b/>
        <sz val="11"/>
        <color theme="0"/>
        <rFont val="Calibri"/>
        <family val="2"/>
        <scheme val="minor"/>
      </rPr>
      <t>]/[H</t>
    </r>
    <r>
      <rPr>
        <b/>
        <vertAlign val="sub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>CO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]</t>
    </r>
  </si>
  <si>
    <r>
      <t>r2 = [CO</t>
    </r>
    <r>
      <rPr>
        <b/>
        <vertAlign val="subscript"/>
        <sz val="11"/>
        <color theme="0"/>
        <rFont val="Calibri"/>
        <family val="2"/>
        <scheme val="minor"/>
      </rPr>
      <t>3</t>
    </r>
    <r>
      <rPr>
        <b/>
        <vertAlign val="superscript"/>
        <sz val="11"/>
        <color theme="0"/>
        <rFont val="Calibri"/>
        <family val="2"/>
        <scheme val="minor"/>
      </rPr>
      <t>2-</t>
    </r>
    <r>
      <rPr>
        <b/>
        <sz val="11"/>
        <color theme="0"/>
        <rFont val="Calibri"/>
        <family val="2"/>
        <scheme val="minor"/>
      </rPr>
      <t>]/[HCO</t>
    </r>
    <r>
      <rPr>
        <b/>
        <vertAlign val="subscript"/>
        <sz val="11"/>
        <color theme="0"/>
        <rFont val="Calibri"/>
        <family val="2"/>
        <scheme val="minor"/>
      </rPr>
      <t>3</t>
    </r>
    <r>
      <rPr>
        <b/>
        <vertAlign val="superscript"/>
        <sz val="11"/>
        <color theme="0"/>
        <rFont val="Calibri"/>
        <family val="2"/>
        <scheme val="minor"/>
      </rPr>
      <t>1-</t>
    </r>
    <r>
      <rPr>
        <b/>
        <sz val="11"/>
        <color theme="0"/>
        <rFont val="Calibri"/>
        <family val="2"/>
        <scheme val="minor"/>
      </rPr>
      <t>]</t>
    </r>
  </si>
  <si>
    <t>pH4,3</t>
  </si>
  <si>
    <t>Alcalinidad [mEq/l]</t>
  </si>
  <si>
    <t>pHo</t>
  </si>
  <si>
    <t>pHfinal</t>
  </si>
  <si>
    <t>Carbono total (AJ)</t>
  </si>
  <si>
    <t>Carbono total (Brun)</t>
  </si>
  <si>
    <t>Acidéz Necesaria (AJ) [mEq/l]</t>
  </si>
  <si>
    <t>Acidéz Necesaria (Brun) [mEq/l]</t>
  </si>
  <si>
    <r>
      <rPr>
        <sz val="11"/>
        <color theme="0"/>
        <rFont val="Symbol"/>
        <family val="1"/>
        <charset val="2"/>
      </rPr>
      <t>D</t>
    </r>
    <r>
      <rPr>
        <sz val="11"/>
        <color theme="0"/>
        <rFont val="Calibri"/>
        <family val="2"/>
        <scheme val="minor"/>
      </rPr>
      <t>carbónico1</t>
    </r>
  </si>
  <si>
    <r>
      <rPr>
        <sz val="11"/>
        <color theme="0"/>
        <rFont val="Symbol"/>
        <family val="1"/>
        <charset val="2"/>
      </rPr>
      <t>D</t>
    </r>
    <r>
      <rPr>
        <sz val="11"/>
        <color theme="0"/>
        <rFont val="Calibri"/>
        <family val="2"/>
        <scheme val="minor"/>
      </rPr>
      <t>carbonato1</t>
    </r>
  </si>
  <si>
    <r>
      <rPr>
        <sz val="11"/>
        <color theme="0"/>
        <rFont val="Symbol"/>
        <family val="1"/>
        <charset val="2"/>
      </rPr>
      <t>D</t>
    </r>
    <r>
      <rPr>
        <sz val="11"/>
        <color theme="0"/>
        <rFont val="Calibri"/>
        <family val="2"/>
        <scheme val="minor"/>
      </rPr>
      <t>carbónico2</t>
    </r>
  </si>
  <si>
    <r>
      <rPr>
        <sz val="11"/>
        <color theme="0"/>
        <rFont val="Symbol"/>
        <family val="1"/>
        <charset val="2"/>
      </rPr>
      <t>D</t>
    </r>
    <r>
      <rPr>
        <sz val="11"/>
        <color theme="0"/>
        <rFont val="Calibri"/>
        <family val="2"/>
        <scheme val="minor"/>
      </rPr>
      <t>carbonato2</t>
    </r>
  </si>
  <si>
    <t>N [Eq/l]</t>
  </si>
  <si>
    <t>M [mol/l]</t>
  </si>
  <si>
    <t>Acidos Seleccionados</t>
  </si>
  <si>
    <t>Acido Seleccionado</t>
  </si>
  <si>
    <t>Hallertauer Tradition</t>
  </si>
  <si>
    <t>Victoria</t>
  </si>
  <si>
    <t>Lúpulos de la Patagonia</t>
  </si>
  <si>
    <t>Nugget</t>
  </si>
  <si>
    <t>Buillion</t>
  </si>
  <si>
    <t>Spalter</t>
  </si>
  <si>
    <t>Tehuelche</t>
  </si>
  <si>
    <r>
      <t>Calcio (Ca</t>
    </r>
    <r>
      <rPr>
        <b/>
        <vertAlign val="superscript"/>
        <sz val="10"/>
        <color theme="0"/>
        <rFont val="Calibri"/>
        <family val="2"/>
        <scheme val="minor"/>
      </rPr>
      <t>2+</t>
    </r>
    <r>
      <rPr>
        <b/>
        <sz val="10"/>
        <color theme="0"/>
        <rFont val="Calibri"/>
        <family val="2"/>
        <scheme val="minor"/>
      </rPr>
      <t>)[mg/l]</t>
    </r>
  </si>
  <si>
    <r>
      <t>Magnesio (Mg</t>
    </r>
    <r>
      <rPr>
        <b/>
        <vertAlign val="superscript"/>
        <sz val="10"/>
        <color theme="0"/>
        <rFont val="Calibri"/>
        <family val="2"/>
        <scheme val="minor"/>
      </rPr>
      <t>2+</t>
    </r>
    <r>
      <rPr>
        <b/>
        <sz val="10"/>
        <color theme="0"/>
        <rFont val="Calibri"/>
        <family val="2"/>
        <scheme val="minor"/>
      </rPr>
      <t>) [mg/l]</t>
    </r>
  </si>
  <si>
    <r>
      <t>Sodio (Na</t>
    </r>
    <r>
      <rPr>
        <b/>
        <vertAlign val="superscript"/>
        <sz val="10"/>
        <color theme="0"/>
        <rFont val="Calibri"/>
        <family val="2"/>
        <scheme val="minor"/>
      </rPr>
      <t>1+</t>
    </r>
    <r>
      <rPr>
        <b/>
        <sz val="10"/>
        <color theme="0"/>
        <rFont val="Calibri"/>
        <family val="2"/>
        <scheme val="minor"/>
      </rPr>
      <t>) [mg/l]</t>
    </r>
  </si>
  <si>
    <r>
      <t>Sulfato (SO</t>
    </r>
    <r>
      <rPr>
        <b/>
        <vertAlign val="subscript"/>
        <sz val="10"/>
        <color theme="0"/>
        <rFont val="Calibri"/>
        <family val="2"/>
        <scheme val="minor"/>
      </rPr>
      <t>4</t>
    </r>
    <r>
      <rPr>
        <b/>
        <vertAlign val="superscript"/>
        <sz val="10"/>
        <color theme="0"/>
        <rFont val="Calibri"/>
        <family val="2"/>
        <scheme val="minor"/>
      </rPr>
      <t>2-</t>
    </r>
    <r>
      <rPr>
        <b/>
        <sz val="10"/>
        <color theme="0"/>
        <rFont val="Calibri"/>
        <family val="2"/>
        <scheme val="minor"/>
      </rPr>
      <t>) [mg/l]</t>
    </r>
  </si>
  <si>
    <r>
      <t>Cloruro (Cl</t>
    </r>
    <r>
      <rPr>
        <b/>
        <vertAlign val="superscript"/>
        <sz val="10"/>
        <color theme="0"/>
        <rFont val="Calibri"/>
        <family val="2"/>
        <scheme val="minor"/>
      </rPr>
      <t>1-</t>
    </r>
    <r>
      <rPr>
        <b/>
        <sz val="10"/>
        <color theme="0"/>
        <rFont val="Calibri"/>
        <family val="2"/>
        <scheme val="minor"/>
      </rPr>
      <t>) [mg/l]</t>
    </r>
  </si>
  <si>
    <r>
      <t>Bicarbonato (HCO</t>
    </r>
    <r>
      <rPr>
        <b/>
        <vertAlign val="subscript"/>
        <sz val="10"/>
        <color theme="0"/>
        <rFont val="Calibri"/>
        <family val="2"/>
        <scheme val="minor"/>
      </rPr>
      <t>3</t>
    </r>
    <r>
      <rPr>
        <b/>
        <vertAlign val="superscript"/>
        <sz val="10"/>
        <color theme="0"/>
        <rFont val="Calibri"/>
        <family val="2"/>
        <scheme val="minor"/>
      </rPr>
      <t>1-</t>
    </r>
    <r>
      <rPr>
        <b/>
        <sz val="10"/>
        <color theme="0"/>
        <rFont val="Calibri"/>
        <family val="2"/>
        <scheme val="minor"/>
      </rPr>
      <t>) [mg/l]</t>
    </r>
  </si>
  <si>
    <r>
      <t>Dureza total [mg/l de CaCO</t>
    </r>
    <r>
      <rPr>
        <b/>
        <vertAlign val="subscript"/>
        <sz val="10"/>
        <color theme="0"/>
        <rFont val="Calibri"/>
        <family val="2"/>
        <scheme val="minor"/>
      </rPr>
      <t>3</t>
    </r>
    <r>
      <rPr>
        <b/>
        <sz val="10"/>
        <color theme="0"/>
        <rFont val="Calibri"/>
        <family val="2"/>
        <scheme val="minor"/>
      </rPr>
      <t>]</t>
    </r>
  </si>
  <si>
    <r>
      <t>SO</t>
    </r>
    <r>
      <rPr>
        <b/>
        <vertAlign val="subscript"/>
        <sz val="10"/>
        <color theme="0"/>
        <rFont val="Calibri"/>
        <family val="2"/>
        <scheme val="minor"/>
      </rPr>
      <t>4</t>
    </r>
    <r>
      <rPr>
        <b/>
        <vertAlign val="superscript"/>
        <sz val="10"/>
        <color theme="0"/>
        <rFont val="Calibri"/>
        <family val="2"/>
        <scheme val="minor"/>
      </rPr>
      <t>2-</t>
    </r>
    <r>
      <rPr>
        <b/>
        <sz val="10"/>
        <color theme="0"/>
        <rFont val="Calibri"/>
        <family val="2"/>
        <scheme val="minor"/>
      </rPr>
      <t>/Cl</t>
    </r>
    <r>
      <rPr>
        <b/>
        <vertAlign val="superscript"/>
        <sz val="10"/>
        <color theme="0"/>
        <rFont val="Calibri"/>
        <family val="2"/>
        <scheme val="minor"/>
      </rPr>
      <t>1-</t>
    </r>
  </si>
  <si>
    <t>Clorhídrico</t>
  </si>
  <si>
    <t>Elemento</t>
  </si>
  <si>
    <r>
      <t>SO</t>
    </r>
    <r>
      <rPr>
        <vertAlign val="subscript"/>
        <sz val="11"/>
        <color theme="1"/>
        <rFont val="Calibri"/>
        <family val="2"/>
        <scheme val="minor"/>
      </rPr>
      <t>4</t>
    </r>
    <r>
      <rPr>
        <vertAlign val="superscript"/>
        <sz val="11"/>
        <color theme="1"/>
        <rFont val="Calibri"/>
        <family val="2"/>
        <scheme val="minor"/>
      </rPr>
      <t>2-</t>
    </r>
  </si>
  <si>
    <r>
      <t>CO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2-</t>
    </r>
  </si>
  <si>
    <r>
      <t>HCO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1-</t>
    </r>
  </si>
  <si>
    <r>
      <t>F</t>
    </r>
    <r>
      <rPr>
        <vertAlign val="superscript"/>
        <sz val="11"/>
        <color theme="1"/>
        <rFont val="Calibri"/>
        <family val="2"/>
        <scheme val="minor"/>
      </rPr>
      <t>1-</t>
    </r>
  </si>
  <si>
    <r>
      <t>Cl</t>
    </r>
    <r>
      <rPr>
        <vertAlign val="superscript"/>
        <sz val="11"/>
        <color theme="1"/>
        <rFont val="Calibri"/>
        <family val="2"/>
        <scheme val="minor"/>
      </rPr>
      <t>1-</t>
    </r>
  </si>
  <si>
    <t>Molécula</t>
  </si>
  <si>
    <r>
      <t>CaCO</t>
    </r>
    <r>
      <rPr>
        <vertAlign val="subscript"/>
        <sz val="11"/>
        <color theme="1"/>
        <rFont val="Calibri"/>
        <family val="2"/>
        <scheme val="minor"/>
      </rPr>
      <t>3</t>
    </r>
  </si>
  <si>
    <r>
      <t>mg/l de CaCO</t>
    </r>
    <r>
      <rPr>
        <b/>
        <vertAlign val="subscript"/>
        <sz val="11"/>
        <color theme="0"/>
        <rFont val="Calibri"/>
        <family val="2"/>
        <scheme val="minor"/>
      </rPr>
      <t>3</t>
    </r>
  </si>
  <si>
    <t>Solubilidad máxima a 20°C [gr]</t>
  </si>
  <si>
    <t>Agua de Macerado[mg/l]:</t>
  </si>
  <si>
    <t>Volumen del lote [l]:</t>
  </si>
  <si>
    <t>Eq</t>
  </si>
  <si>
    <t xml:space="preserve"> Alcalinidad Residual (AR):</t>
  </si>
  <si>
    <r>
      <t>NO</t>
    </r>
    <r>
      <rPr>
        <vertAlign val="subscript"/>
        <sz val="11"/>
        <color theme="1"/>
        <rFont val="Calibri"/>
        <family val="2"/>
        <scheme val="minor"/>
      </rPr>
      <t>3</t>
    </r>
    <r>
      <rPr>
        <vertAlign val="superscript"/>
        <sz val="11"/>
        <color theme="1"/>
        <rFont val="Calibri"/>
        <family val="2"/>
        <scheme val="minor"/>
      </rPr>
      <t>1-</t>
    </r>
  </si>
  <si>
    <r>
      <t>NO</t>
    </r>
    <r>
      <rPr>
        <vertAlign val="subscript"/>
        <sz val="11"/>
        <color theme="1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>1-</t>
    </r>
  </si>
  <si>
    <t>Concentración de Iones en el empaste[mg/l]:</t>
  </si>
  <si>
    <t>Sulfato de calcio</t>
  </si>
  <si>
    <t>Sulfato de magnesio</t>
  </si>
  <si>
    <t>Cloruro de calcio</t>
  </si>
  <si>
    <t>Cloruro de sodio</t>
  </si>
  <si>
    <t>Cloruro de magnesio</t>
  </si>
  <si>
    <t>Carbonato de calcio</t>
  </si>
  <si>
    <t>Bicarbonato de sodio</t>
  </si>
  <si>
    <t>Hidróxido de calcio</t>
  </si>
  <si>
    <t>Volumen de agua para el Empaste [l]:</t>
  </si>
  <si>
    <t>Acidos</t>
  </si>
  <si>
    <t>Volumen de agua de lavado [l]:</t>
  </si>
  <si>
    <t>Agua de Lavado</t>
  </si>
  <si>
    <t>Volumen del Lote [l]</t>
  </si>
  <si>
    <t>Sales</t>
  </si>
  <si>
    <t>Aporte de los ácidos al empaste:</t>
  </si>
  <si>
    <t>Aporte de los ácidos al agua de lavado:</t>
  </si>
  <si>
    <t>Solido</t>
  </si>
  <si>
    <t>Umbral [mg/l]</t>
  </si>
  <si>
    <t>Alcalinidad Residual [mEq/l]:</t>
  </si>
  <si>
    <t>Viena</t>
  </si>
  <si>
    <t>Munich I</t>
  </si>
  <si>
    <t>Munich II</t>
  </si>
  <si>
    <t>Carafa III</t>
  </si>
  <si>
    <t>Alcalinidad Residual:</t>
  </si>
  <si>
    <t>Calcio [mg/l]</t>
  </si>
  <si>
    <t>Magnesio[mg/l]</t>
  </si>
  <si>
    <t>Dureza efectiva</t>
  </si>
  <si>
    <t>RA chart</t>
  </si>
  <si>
    <t>Dureza total</t>
  </si>
  <si>
    <t>Alcalinidad Residual</t>
  </si>
  <si>
    <t>AR 150</t>
  </si>
  <si>
    <t>AR 125</t>
  </si>
  <si>
    <t>AR 100</t>
  </si>
  <si>
    <t>Londres</t>
  </si>
  <si>
    <t>AR 75</t>
  </si>
  <si>
    <t>AR 50</t>
  </si>
  <si>
    <t>AR 25</t>
  </si>
  <si>
    <t>AR 0</t>
  </si>
  <si>
    <t>AR -25</t>
  </si>
  <si>
    <t>AR -50</t>
  </si>
  <si>
    <t>AR -75</t>
  </si>
  <si>
    <t>AR -100</t>
  </si>
  <si>
    <t>Agua de Origen</t>
  </si>
  <si>
    <t>Agua Modificada</t>
  </si>
  <si>
    <t>Pilsen Naheland</t>
  </si>
  <si>
    <t>Naheland</t>
  </si>
  <si>
    <t>Cara Munich 2</t>
  </si>
  <si>
    <t>The Swarn</t>
  </si>
  <si>
    <t>Holanda</t>
  </si>
  <si>
    <t>The Swaen</t>
  </si>
  <si>
    <t>Malta Black</t>
  </si>
  <si>
    <t>Malta Carapils</t>
  </si>
  <si>
    <t>Briess</t>
  </si>
  <si>
    <t>USA</t>
  </si>
  <si>
    <t>Saaz</t>
  </si>
  <si>
    <t>Hopsteiner</t>
  </si>
  <si>
    <t>Magnum</t>
  </si>
  <si>
    <t>Northern Brewer</t>
  </si>
  <si>
    <t>Martin Brungard</t>
  </si>
  <si>
    <t>A. J. deLange</t>
  </si>
  <si>
    <t>Zeuz</t>
  </si>
  <si>
    <t>YCH</t>
  </si>
  <si>
    <r>
      <t>Calcio (Ca</t>
    </r>
    <r>
      <rPr>
        <b/>
        <vertAlign val="superscript"/>
        <sz val="9"/>
        <color theme="0"/>
        <rFont val="Calibri"/>
        <family val="2"/>
        <scheme val="minor"/>
      </rPr>
      <t>2+</t>
    </r>
    <r>
      <rPr>
        <b/>
        <sz val="9"/>
        <color theme="0"/>
        <rFont val="Calibri"/>
        <family val="2"/>
        <scheme val="minor"/>
      </rPr>
      <t>)[mg/l]</t>
    </r>
  </si>
  <si>
    <r>
      <t>Magnesio (Mg</t>
    </r>
    <r>
      <rPr>
        <b/>
        <vertAlign val="superscript"/>
        <sz val="9"/>
        <color theme="0"/>
        <rFont val="Calibri"/>
        <family val="2"/>
        <scheme val="minor"/>
      </rPr>
      <t>2+</t>
    </r>
    <r>
      <rPr>
        <b/>
        <sz val="9"/>
        <color theme="0"/>
        <rFont val="Calibri"/>
        <family val="2"/>
        <scheme val="minor"/>
      </rPr>
      <t>) [mg/l]</t>
    </r>
  </si>
  <si>
    <r>
      <t>Sodio (Na</t>
    </r>
    <r>
      <rPr>
        <b/>
        <vertAlign val="superscript"/>
        <sz val="9"/>
        <color theme="0"/>
        <rFont val="Calibri"/>
        <family val="2"/>
        <scheme val="minor"/>
      </rPr>
      <t>1+</t>
    </r>
    <r>
      <rPr>
        <b/>
        <sz val="9"/>
        <color theme="0"/>
        <rFont val="Calibri"/>
        <family val="2"/>
        <scheme val="minor"/>
      </rPr>
      <t>) [mg/l]</t>
    </r>
  </si>
  <si>
    <r>
      <t>Sulfato (SO</t>
    </r>
    <r>
      <rPr>
        <b/>
        <vertAlign val="subscript"/>
        <sz val="9"/>
        <color theme="0"/>
        <rFont val="Calibri"/>
        <family val="2"/>
        <scheme val="minor"/>
      </rPr>
      <t>4</t>
    </r>
    <r>
      <rPr>
        <b/>
        <vertAlign val="superscript"/>
        <sz val="9"/>
        <color theme="0"/>
        <rFont val="Calibri"/>
        <family val="2"/>
        <scheme val="minor"/>
      </rPr>
      <t>2-</t>
    </r>
    <r>
      <rPr>
        <b/>
        <sz val="9"/>
        <color theme="0"/>
        <rFont val="Calibri"/>
        <family val="2"/>
        <scheme val="minor"/>
      </rPr>
      <t>) [mg/l]</t>
    </r>
  </si>
  <si>
    <r>
      <t>Cloruro (Cl</t>
    </r>
    <r>
      <rPr>
        <b/>
        <vertAlign val="superscript"/>
        <sz val="9"/>
        <color theme="0"/>
        <rFont val="Calibri"/>
        <family val="2"/>
        <scheme val="minor"/>
      </rPr>
      <t>1-</t>
    </r>
    <r>
      <rPr>
        <b/>
        <sz val="9"/>
        <color theme="0"/>
        <rFont val="Calibri"/>
        <family val="2"/>
        <scheme val="minor"/>
      </rPr>
      <t>) [mg/l]</t>
    </r>
  </si>
  <si>
    <r>
      <t>Bicarbonato (HCO</t>
    </r>
    <r>
      <rPr>
        <b/>
        <vertAlign val="subscript"/>
        <sz val="9"/>
        <color theme="0"/>
        <rFont val="Calibri"/>
        <family val="2"/>
        <scheme val="minor"/>
      </rPr>
      <t>3</t>
    </r>
    <r>
      <rPr>
        <b/>
        <vertAlign val="superscript"/>
        <sz val="9"/>
        <color theme="0"/>
        <rFont val="Calibri"/>
        <family val="2"/>
        <scheme val="minor"/>
      </rPr>
      <t>1-</t>
    </r>
    <r>
      <rPr>
        <b/>
        <sz val="9"/>
        <color theme="0"/>
        <rFont val="Calibri"/>
        <family val="2"/>
        <scheme val="minor"/>
      </rPr>
      <t>) [mg/l]</t>
    </r>
  </si>
  <si>
    <r>
      <t>CaSO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x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O:</t>
    </r>
  </si>
  <si>
    <r>
      <t>MgSO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x 7H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O:</t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</si>
  <si>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x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O:</t>
    </r>
  </si>
  <si>
    <r>
      <t>MgCl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x 6H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O:</t>
    </r>
  </si>
  <si>
    <r>
      <t>CaCO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:</t>
    </r>
  </si>
  <si>
    <r>
      <t>NaHCO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:</t>
    </r>
  </si>
  <si>
    <r>
      <t>Ca(OH)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:</t>
    </r>
  </si>
  <si>
    <t>Dureza Efectiva:</t>
  </si>
  <si>
    <t>Porcentaje del primer ácido</t>
  </si>
  <si>
    <t>Porcentaje del segundo ácido</t>
  </si>
  <si>
    <t>Porcentaje del tercer ácido</t>
  </si>
  <si>
    <t>Porcentaje del cuarto ácido</t>
  </si>
  <si>
    <t>pH final del agua de lavado:</t>
  </si>
  <si>
    <t>Acidez total del empaste:</t>
  </si>
  <si>
    <t>Acidez del empaste:</t>
  </si>
  <si>
    <t>Ácido:</t>
  </si>
  <si>
    <t>Umbral</t>
  </si>
  <si>
    <t>EBC estimado:</t>
  </si>
  <si>
    <t>TDS del agua diluída:</t>
  </si>
  <si>
    <t>TDS del agua:</t>
  </si>
  <si>
    <t>Malta Munich</t>
  </si>
  <si>
    <t>Malta Viena</t>
  </si>
  <si>
    <t>Malta Melanoidina</t>
  </si>
  <si>
    <t>Melanoidina</t>
  </si>
  <si>
    <t>Carapils</t>
  </si>
  <si>
    <t>EBC</t>
  </si>
  <si>
    <t>Chocolate</t>
  </si>
  <si>
    <t>Melany</t>
  </si>
  <si>
    <t>Pilsen Cargill</t>
  </si>
  <si>
    <t>Pilsen Taipan</t>
  </si>
  <si>
    <t>Pilsen Maltear</t>
  </si>
  <si>
    <t>Color [EBC]</t>
  </si>
  <si>
    <t>Cargill</t>
  </si>
  <si>
    <t>Acidez M1</t>
  </si>
  <si>
    <t>Acidez M2</t>
  </si>
  <si>
    <t>pH estimado M1:</t>
  </si>
  <si>
    <t>pH estimado M2:</t>
  </si>
  <si>
    <t>pH estimado (M1):</t>
  </si>
  <si>
    <t>pH estimado (M2):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</si>
</sst>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.00_ ;_ * \-#,##0.00_ ;_ * &quot;-&quot;??_ ;_ @_ "/>
    <numFmt numFmtId="165" formatCode="0.000"/>
    <numFmt numFmtId="166" formatCode="_ * #,##0.000_ ;_ * \-#,##0.000_ ;_ * &quot;-&quot;??_ ;_ @_ "/>
    <numFmt numFmtId="167" formatCode="_ * #,##0_ ;_ * \-#,##0_ ;_ * &quot;-&quot;??_ ;_ @_ "/>
    <numFmt numFmtId="168" formatCode="_ * #,##0.0000_ ;_ * \-#,##0.0000_ ;_ * &quot;-&quot;??_ ;_ @_ "/>
    <numFmt numFmtId="169" formatCode="_ * #,##0.0000000_ ;_ * \-#,##0.0000000_ ;_ * &quot;-&quot;??_ ;_ @_ "/>
    <numFmt numFmtId="170" formatCode="_ * #,##0.0000000_ ;_ * \-#,##0.0000000_ ;_ * &quot;-&quot;???????_ ;_ @_ "/>
    <numFmt numFmtId="171" formatCode="0.0%"/>
    <numFmt numFmtId="172" formatCode="_-* #,##0.000_-;\-* #,##0.000_-;_-* &quot;-&quot;???_-;_-@_-"/>
    <numFmt numFmtId="173" formatCode="_ * #,##0.00000_ ;_ * \-#,##0.00000_ ;_ * &quot;-&quot;??_ ;_ @_ "/>
    <numFmt numFmtId="174" formatCode="#,##0.00_ ;[Red]\-#,##0.00\ "/>
    <numFmt numFmtId="175" formatCode="_-* #,##0.0000000_-;\-* #,##0.0000000_-;_-* &quot;-&quot;???????_-;_-@_-"/>
    <numFmt numFmtId="176" formatCode="_(* #,##0.00_);_(* \(#,##0.00\);_(* &quot;-&quot;??_);_(@_)"/>
    <numFmt numFmtId="177" formatCode="_ * #,##0.0_ ;_ * \-#,##0.0_ ;_ * &quot;-&quot;??_ ;_ @_ 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0"/>
      <name val="Symbol"/>
      <family val="1"/>
      <charset val="2"/>
    </font>
    <font>
      <b/>
      <i/>
      <sz val="11"/>
      <color theme="5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bscript"/>
      <sz val="10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b/>
      <vertAlign val="subscript"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theme="6" tint="0.59999389629810485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9" tint="0.39997558519241921"/>
      </bottom>
      <diagonal/>
    </border>
    <border>
      <left/>
      <right/>
      <top style="medium">
        <color theme="9" tint="0.39997558519241921"/>
      </top>
      <bottom style="medium">
        <color theme="9" tint="0.39997558519241921"/>
      </bottom>
      <diagonal/>
    </border>
    <border>
      <left/>
      <right/>
      <top style="thick">
        <color theme="9" tint="0.39997558519241921"/>
      </top>
      <bottom style="thick">
        <color theme="9" tint="0.39997558519241921"/>
      </bottom>
      <diagonal/>
    </border>
    <border>
      <left/>
      <right/>
      <top/>
      <bottom style="thick">
        <color theme="9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/>
      <top/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6" tint="0.59999389629810485"/>
      </bottom>
      <diagonal/>
    </border>
    <border>
      <left style="thin">
        <color theme="6" tint="0.39997558519241921"/>
      </left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/>
      <top/>
      <bottom style="thick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0.59999389629810485"/>
      </bottom>
      <diagonal/>
    </border>
    <border>
      <left/>
      <right/>
      <top style="thin">
        <color theme="6" tint="-0.499984740745262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/>
      <bottom/>
      <diagonal/>
    </border>
    <border>
      <left style="thin">
        <color theme="6" tint="0.59999389629810485"/>
      </left>
      <right/>
      <top style="thin">
        <color theme="6" tint="-0.499984740745262"/>
      </top>
      <bottom style="thin">
        <color theme="6" tint="0.59999389629810485"/>
      </bottom>
      <diagonal/>
    </border>
    <border>
      <left style="thin">
        <color theme="6" tint="0.59999389629810485"/>
      </left>
      <right/>
      <top/>
      <bottom/>
      <diagonal/>
    </border>
    <border>
      <left style="thin">
        <color theme="6" tint="0.59999389629810485"/>
      </left>
      <right/>
      <top/>
      <bottom style="thin">
        <color theme="6" tint="-0.499984740745262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-0.499984740745262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0.59999389629810485"/>
      </top>
      <bottom style="thin">
        <color theme="6" tint="0.59999389629810485"/>
      </bottom>
      <diagonal/>
    </border>
    <border>
      <left/>
      <right style="thin">
        <color theme="6" tint="-0.499984740745262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-0.499984740745262"/>
      </left>
      <right/>
      <top style="thin">
        <color theme="6" tint="0.59999389629810485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  <border>
      <left/>
      <right style="thin">
        <color theme="6" tint="-0.499984740745262"/>
      </right>
      <top style="thin">
        <color theme="6" tint="0.59999389629810485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0.59999389629810485"/>
      </bottom>
      <diagonal/>
    </border>
    <border>
      <left/>
      <right style="thin">
        <color theme="6" tint="-0.499984740745262"/>
      </right>
      <top/>
      <bottom style="thin">
        <color theme="6" tint="0.59999389629810485"/>
      </bottom>
      <diagonal/>
    </border>
    <border>
      <left style="thin">
        <color theme="6" tint="-0.499984740745262"/>
      </left>
      <right/>
      <top/>
      <bottom style="thin">
        <color theme="6" tint="0.59999389629810485"/>
      </bottom>
      <diagonal/>
    </border>
    <border>
      <left style="thin">
        <color theme="6" tint="-0.499984740745262"/>
      </left>
      <right/>
      <top style="thin">
        <color theme="6" tint="0.59999389629810485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0.59999389629810485"/>
      </top>
      <bottom style="thin">
        <color theme="6" tint="-0.499984740745262"/>
      </bottom>
      <diagonal/>
    </border>
    <border>
      <left/>
      <right/>
      <top style="thin">
        <color theme="6" tint="0.59999389629810485"/>
      </top>
      <bottom style="thin">
        <color theme="6" tint="-0.499984740745262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/>
      <top style="double">
        <color theme="6"/>
      </top>
      <bottom/>
      <diagonal/>
    </border>
    <border>
      <left/>
      <right style="thin">
        <color theme="6" tint="0.39997558519241921"/>
      </right>
      <top style="double">
        <color theme="6"/>
      </top>
      <bottom/>
      <diagonal/>
    </border>
    <border>
      <left style="thin">
        <color theme="6" tint="0.39997558519241921"/>
      </left>
      <right/>
      <top style="double">
        <color theme="6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 style="thin">
        <color theme="6" tint="0.39997558519241921"/>
      </left>
      <right/>
      <top/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 style="thin">
        <color theme="6" tint="0.39997558519241921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/>
      <right style="thick">
        <color theme="6" tint="-0.499984740745262"/>
      </right>
      <top/>
      <bottom/>
      <diagonal/>
    </border>
    <border>
      <left/>
      <right style="thick">
        <color theme="6" tint="-0.499984740745262"/>
      </right>
      <top/>
      <bottom style="thin">
        <color theme="6" tint="0.59999389629810485"/>
      </bottom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n">
        <color theme="6" tint="0.59999389629810485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n">
        <color theme="6" tint="0.59999389629810485"/>
      </bottom>
      <diagonal/>
    </border>
    <border>
      <left style="thick">
        <color theme="6" tint="-0.249977111117893"/>
      </left>
      <right/>
      <top style="thick">
        <color theme="6" tint="-0.249977111117893"/>
      </top>
      <bottom style="thick">
        <color theme="6" tint="-0.249977111117893"/>
      </bottom>
      <diagonal/>
    </border>
    <border>
      <left/>
      <right style="thick">
        <color theme="6" tint="-0.249977111117893"/>
      </right>
      <top style="thick">
        <color theme="6" tint="-0.249977111117893"/>
      </top>
      <bottom style="thick">
        <color theme="6" tint="-0.249977111117893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0.59999389629810485"/>
      </bottom>
      <diagonal/>
    </border>
    <border>
      <left style="thin">
        <color indexed="64"/>
      </left>
      <right/>
      <top/>
      <bottom style="thin">
        <color theme="6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6" tint="-0.499984740745262"/>
      </top>
      <bottom/>
      <diagonal/>
    </border>
    <border>
      <left style="thin">
        <color indexed="64"/>
      </left>
      <right/>
      <top style="thin">
        <color theme="6" tint="-0.499984740745262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indexed="64"/>
      </bottom>
      <diagonal/>
    </border>
    <border>
      <left/>
      <right/>
      <top style="thin">
        <color theme="6" tint="-0.499984740745262"/>
      </top>
      <bottom style="thin">
        <color indexed="64"/>
      </bottom>
      <diagonal/>
    </border>
    <border>
      <left/>
      <right style="thick">
        <color theme="6" tint="-0.499984740745262"/>
      </right>
      <top/>
      <bottom style="thin">
        <color theme="6" tint="0.39997558519241921"/>
      </bottom>
      <diagonal/>
    </border>
    <border>
      <left style="thick">
        <color theme="6" tint="-0.499984740745262"/>
      </left>
      <right/>
      <top/>
      <bottom style="thin">
        <color theme="6" tint="0.39997558519241921"/>
      </bottom>
      <diagonal/>
    </border>
    <border>
      <left style="thin">
        <color theme="6" tint="-0.499984740745262"/>
      </left>
      <right/>
      <top/>
      <bottom style="thin">
        <color indexed="64"/>
      </bottom>
      <diagonal/>
    </border>
    <border>
      <left/>
      <right style="thin">
        <color theme="6" tint="-0.499984740745262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176" fontId="1" fillId="0" borderId="0" applyFont="0" applyFill="0" applyBorder="0" applyAlignment="0" applyProtection="0"/>
  </cellStyleXfs>
  <cellXfs count="490">
    <xf numFmtId="0" fontId="0" fillId="0" borderId="0" xfId="0"/>
    <xf numFmtId="0" fontId="2" fillId="0" borderId="0" xfId="0" applyFont="1"/>
    <xf numFmtId="164" fontId="0" fillId="0" borderId="0" xfId="2" applyFont="1"/>
    <xf numFmtId="0" fontId="0" fillId="0" borderId="1" xfId="0" applyBorder="1"/>
    <xf numFmtId="0" fontId="0" fillId="0" borderId="0" xfId="0" applyBorder="1"/>
    <xf numFmtId="164" fontId="0" fillId="0" borderId="0" xfId="2" applyFont="1" applyBorder="1"/>
    <xf numFmtId="0" fontId="0" fillId="0" borderId="0" xfId="0" applyAlignment="1">
      <alignment horizontal="right"/>
    </xf>
    <xf numFmtId="0" fontId="0" fillId="0" borderId="2" xfId="0" applyBorder="1"/>
    <xf numFmtId="0" fontId="2" fillId="0" borderId="0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2" xfId="0" applyFont="1" applyBorder="1"/>
    <xf numFmtId="10" fontId="3" fillId="0" borderId="0" xfId="1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0" fontId="8" fillId="0" borderId="2" xfId="0" applyFont="1" applyBorder="1"/>
    <xf numFmtId="0" fontId="6" fillId="0" borderId="2" xfId="0" applyFont="1" applyBorder="1"/>
    <xf numFmtId="0" fontId="12" fillId="0" borderId="0" xfId="0" applyFont="1" applyAlignment="1">
      <alignment horizontal="right"/>
    </xf>
    <xf numFmtId="0" fontId="6" fillId="0" borderId="0" xfId="0" applyFont="1" applyBorder="1"/>
    <xf numFmtId="165" fontId="10" fillId="0" borderId="0" xfId="2" applyNumberFormat="1" applyFont="1" applyAlignment="1">
      <alignment horizontal="left"/>
    </xf>
    <xf numFmtId="2" fontId="10" fillId="0" borderId="0" xfId="2" applyNumberFormat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64" fontId="9" fillId="0" borderId="0" xfId="2" applyFont="1" applyFill="1" applyBorder="1"/>
    <xf numFmtId="0" fontId="0" fillId="0" borderId="2" xfId="0" applyFont="1" applyBorder="1"/>
    <xf numFmtId="0" fontId="4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3" fillId="0" borderId="0" xfId="0" applyFont="1" applyFill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0" fillId="0" borderId="3" xfId="0" applyBorder="1"/>
    <xf numFmtId="0" fontId="0" fillId="2" borderId="4" xfId="0" applyFill="1" applyBorder="1"/>
    <xf numFmtId="0" fontId="17" fillId="2" borderId="4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2" borderId="5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1" fillId="0" borderId="0" xfId="0" applyFont="1" applyProtection="1">
      <protection locked="0"/>
    </xf>
    <xf numFmtId="164" fontId="9" fillId="0" borderId="2" xfId="2" applyFont="1" applyFill="1" applyBorder="1" applyProtection="1">
      <protection locked="0"/>
    </xf>
    <xf numFmtId="167" fontId="9" fillId="0" borderId="1" xfId="2" applyNumberFormat="1" applyFont="1" applyFill="1" applyBorder="1" applyProtection="1">
      <protection locked="0"/>
    </xf>
    <xf numFmtId="10" fontId="9" fillId="0" borderId="1" xfId="1" applyNumberFormat="1" applyFont="1" applyFill="1" applyBorder="1" applyProtection="1">
      <protection locked="0"/>
    </xf>
    <xf numFmtId="164" fontId="9" fillId="0" borderId="0" xfId="2" applyFont="1" applyProtection="1">
      <protection locked="0"/>
    </xf>
    <xf numFmtId="167" fontId="9" fillId="0" borderId="2" xfId="2" applyNumberFormat="1" applyFont="1" applyFill="1" applyBorder="1" applyAlignment="1" applyProtection="1">
      <alignment horizontal="right"/>
      <protection locked="0"/>
    </xf>
    <xf numFmtId="9" fontId="9" fillId="0" borderId="1" xfId="1" applyFont="1" applyFill="1" applyBorder="1" applyProtection="1">
      <protection locked="0"/>
    </xf>
    <xf numFmtId="164" fontId="9" fillId="0" borderId="2" xfId="2" applyFont="1" applyFill="1" applyBorder="1" applyAlignment="1" applyProtection="1">
      <alignment horizontal="right"/>
      <protection locked="0"/>
    </xf>
    <xf numFmtId="166" fontId="9" fillId="0" borderId="2" xfId="2" applyNumberFormat="1" applyFont="1" applyFill="1" applyBorder="1" applyProtection="1"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3" fillId="0" borderId="0" xfId="2" applyFont="1" applyProtection="1">
      <protection locked="0"/>
    </xf>
    <xf numFmtId="0" fontId="0" fillId="0" borderId="0" xfId="0" applyNumberFormat="1"/>
    <xf numFmtId="0" fontId="19" fillId="0" borderId="0" xfId="2" applyNumberFormat="1" applyFont="1" applyFill="1" applyBorder="1"/>
    <xf numFmtId="0" fontId="0" fillId="0" borderId="0" xfId="0" applyAlignment="1">
      <alignment vertical="center" wrapText="1"/>
    </xf>
    <xf numFmtId="168" fontId="0" fillId="0" borderId="0" xfId="2" applyNumberFormat="1" applyFont="1"/>
    <xf numFmtId="11" fontId="0" fillId="0" borderId="0" xfId="0" applyNumberFormat="1"/>
    <xf numFmtId="164" fontId="0" fillId="0" borderId="0" xfId="0" applyNumberFormat="1"/>
    <xf numFmtId="0" fontId="13" fillId="0" borderId="0" xfId="0" applyFont="1" applyBorder="1" applyAlignment="1">
      <alignment horizontal="right"/>
    </xf>
    <xf numFmtId="164" fontId="14" fillId="0" borderId="0" xfId="0" applyNumberFormat="1" applyFont="1" applyBorder="1" applyAlignment="1"/>
    <xf numFmtId="14" fontId="0" fillId="0" borderId="0" xfId="0" applyNumberFormat="1" applyBorder="1"/>
    <xf numFmtId="0" fontId="0" fillId="0" borderId="6" xfId="0" applyBorder="1"/>
    <xf numFmtId="0" fontId="0" fillId="0" borderId="0" xfId="0" applyAlignment="1">
      <alignment horizontal="left"/>
    </xf>
    <xf numFmtId="164" fontId="9" fillId="0" borderId="0" xfId="2" applyFont="1" applyFill="1" applyBorder="1" applyProtection="1">
      <protection locked="0"/>
    </xf>
    <xf numFmtId="0" fontId="21" fillId="0" borderId="0" xfId="0" applyFont="1" applyAlignment="1">
      <alignment horizontal="left"/>
    </xf>
    <xf numFmtId="2" fontId="16" fillId="0" borderId="1" xfId="0" applyNumberFormat="1" applyFont="1" applyBorder="1" applyProtection="1"/>
    <xf numFmtId="164" fontId="16" fillId="0" borderId="1" xfId="2" applyFont="1" applyBorder="1" applyProtection="1"/>
    <xf numFmtId="0" fontId="0" fillId="0" borderId="0" xfId="0" applyProtection="1"/>
    <xf numFmtId="0" fontId="0" fillId="0" borderId="2" xfId="0" applyBorder="1" applyProtection="1"/>
    <xf numFmtId="166" fontId="16" fillId="0" borderId="2" xfId="2" applyNumberFormat="1" applyFont="1" applyFill="1" applyBorder="1" applyProtection="1"/>
    <xf numFmtId="0" fontId="0" fillId="0" borderId="1" xfId="0" applyBorder="1" applyProtection="1"/>
    <xf numFmtId="2" fontId="16" fillId="0" borderId="2" xfId="0" applyNumberFormat="1" applyFont="1" applyBorder="1" applyProtection="1"/>
    <xf numFmtId="10" fontId="16" fillId="0" borderId="1" xfId="1" applyNumberFormat="1" applyFont="1" applyBorder="1" applyProtection="1"/>
    <xf numFmtId="2" fontId="3" fillId="0" borderId="0" xfId="0" applyNumberFormat="1" applyFont="1" applyFill="1" applyProtection="1"/>
    <xf numFmtId="10" fontId="3" fillId="0" borderId="0" xfId="1" applyNumberFormat="1" applyFont="1" applyFill="1" applyProtection="1"/>
    <xf numFmtId="0" fontId="0" fillId="0" borderId="0" xfId="0" applyFont="1"/>
    <xf numFmtId="0" fontId="8" fillId="0" borderId="0" xfId="0" applyFont="1" applyAlignment="1">
      <alignment horizontal="center" vertical="center" wrapText="1"/>
    </xf>
    <xf numFmtId="164" fontId="9" fillId="0" borderId="10" xfId="2" applyFont="1" applyBorder="1"/>
    <xf numFmtId="0" fontId="20" fillId="4" borderId="13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164" fontId="0" fillId="0" borderId="17" xfId="2" applyFont="1" applyBorder="1"/>
    <xf numFmtId="164" fontId="0" fillId="0" borderId="8" xfId="2" applyFont="1" applyBorder="1"/>
    <xf numFmtId="0" fontId="8" fillId="0" borderId="10" xfId="0" applyFont="1" applyBorder="1" applyAlignment="1">
      <alignment horizontal="right"/>
    </xf>
    <xf numFmtId="0" fontId="0" fillId="0" borderId="0" xfId="0" applyNumberFormat="1" applyBorder="1"/>
    <xf numFmtId="0" fontId="2" fillId="0" borderId="11" xfId="0" applyFont="1" applyBorder="1" applyAlignment="1">
      <alignment horizontal="right"/>
    </xf>
    <xf numFmtId="0" fontId="0" fillId="0" borderId="12" xfId="0" applyBorder="1"/>
    <xf numFmtId="0" fontId="21" fillId="4" borderId="15" xfId="0" applyFont="1" applyFill="1" applyBorder="1"/>
    <xf numFmtId="0" fontId="21" fillId="4" borderId="16" xfId="0" applyFont="1" applyFill="1" applyBorder="1"/>
    <xf numFmtId="0" fontId="8" fillId="3" borderId="10" xfId="0" applyFont="1" applyFill="1" applyBorder="1" applyAlignment="1">
      <alignment horizontal="right"/>
    </xf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21" fillId="4" borderId="19" xfId="0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8" xfId="0" applyFill="1" applyBorder="1"/>
    <xf numFmtId="0" fontId="0" fillId="0" borderId="9" xfId="0" applyBorder="1"/>
    <xf numFmtId="164" fontId="0" fillId="0" borderId="8" xfId="2" applyFont="1" applyFill="1" applyBorder="1"/>
    <xf numFmtId="164" fontId="0" fillId="3" borderId="8" xfId="2" applyFont="1" applyFill="1" applyBorder="1"/>
    <xf numFmtId="164" fontId="0" fillId="3" borderId="0" xfId="2" applyFont="1" applyFill="1" applyBorder="1"/>
    <xf numFmtId="0" fontId="20" fillId="4" borderId="0" xfId="0" applyFont="1" applyFill="1" applyBorder="1"/>
    <xf numFmtId="164" fontId="0" fillId="3" borderId="17" xfId="2" applyFont="1" applyFill="1" applyBorder="1"/>
    <xf numFmtId="164" fontId="0" fillId="0" borderId="0" xfId="2" applyFont="1" applyFill="1" applyBorder="1"/>
    <xf numFmtId="0" fontId="20" fillId="4" borderId="20" xfId="0" applyFont="1" applyFill="1" applyBorder="1" applyAlignment="1">
      <alignment horizontal="center" vertical="center" wrapText="1"/>
    </xf>
    <xf numFmtId="164" fontId="0" fillId="0" borderId="17" xfId="2" applyFont="1" applyFill="1" applyBorder="1"/>
    <xf numFmtId="0" fontId="0" fillId="0" borderId="0" xfId="0" applyFont="1" applyFill="1" applyBorder="1" applyAlignment="1">
      <alignment horizontal="right"/>
    </xf>
    <xf numFmtId="166" fontId="0" fillId="0" borderId="0" xfId="2" applyNumberFormat="1" applyFont="1" applyAlignment="1">
      <alignment horizontal="right"/>
    </xf>
    <xf numFmtId="166" fontId="0" fillId="0" borderId="0" xfId="2" applyNumberFormat="1" applyFont="1" applyFill="1" applyBorder="1" applyAlignment="1">
      <alignment horizontal="right"/>
    </xf>
    <xf numFmtId="164" fontId="0" fillId="0" borderId="0" xfId="2" applyFont="1" applyAlignment="1">
      <alignment vertical="center" wrapText="1"/>
    </xf>
    <xf numFmtId="169" fontId="0" fillId="0" borderId="0" xfId="2" applyNumberFormat="1" applyFont="1"/>
    <xf numFmtId="169" fontId="0" fillId="0" borderId="0" xfId="0" applyNumberFormat="1"/>
    <xf numFmtId="170" fontId="0" fillId="0" borderId="0" xfId="0" applyNumberFormat="1"/>
    <xf numFmtId="0" fontId="0" fillId="0" borderId="22" xfId="0" applyBorder="1"/>
    <xf numFmtId="0" fontId="0" fillId="0" borderId="23" xfId="0" applyBorder="1"/>
    <xf numFmtId="0" fontId="20" fillId="4" borderId="0" xfId="0" applyFont="1" applyFill="1" applyBorder="1" applyAlignment="1">
      <alignment horizontal="right"/>
    </xf>
    <xf numFmtId="0" fontId="20" fillId="4" borderId="0" xfId="0" applyFont="1" applyFill="1" applyBorder="1" applyAlignment="1"/>
    <xf numFmtId="0" fontId="0" fillId="3" borderId="0" xfId="0" applyFill="1" applyBorder="1" applyAlignment="1">
      <alignment horizontal="left"/>
    </xf>
    <xf numFmtId="0" fontId="27" fillId="3" borderId="0" xfId="0" applyFont="1" applyFill="1" applyBorder="1"/>
    <xf numFmtId="0" fontId="27" fillId="0" borderId="0" xfId="0" applyFont="1" applyBorder="1"/>
    <xf numFmtId="0" fontId="0" fillId="0" borderId="24" xfId="0" applyBorder="1"/>
    <xf numFmtId="164" fontId="0" fillId="0" borderId="25" xfId="2" applyFont="1" applyBorder="1"/>
    <xf numFmtId="164" fontId="0" fillId="3" borderId="25" xfId="2" applyFont="1" applyFill="1" applyBorder="1"/>
    <xf numFmtId="2" fontId="3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28" fillId="0" borderId="0" xfId="2" applyNumberFormat="1" applyFont="1" applyFill="1" applyBorder="1" applyAlignment="1">
      <alignment horizontal="left"/>
    </xf>
    <xf numFmtId="164" fontId="3" fillId="0" borderId="0" xfId="2" applyNumberFormat="1" applyFont="1" applyFill="1" applyBorder="1"/>
    <xf numFmtId="171" fontId="3" fillId="0" borderId="0" xfId="1" applyNumberFormat="1" applyFont="1" applyFill="1" applyBorder="1" applyAlignment="1">
      <alignment horizontal="right"/>
    </xf>
    <xf numFmtId="164" fontId="28" fillId="0" borderId="0" xfId="2" applyNumberFormat="1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right"/>
    </xf>
    <xf numFmtId="164" fontId="3" fillId="0" borderId="0" xfId="2" applyNumberFormat="1" applyFont="1" applyFill="1" applyBorder="1" applyAlignment="1"/>
    <xf numFmtId="0" fontId="28" fillId="0" borderId="0" xfId="0" applyNumberFormat="1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20" fillId="4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 applyFill="1" applyBorder="1"/>
    <xf numFmtId="164" fontId="20" fillId="0" borderId="0" xfId="2" applyFont="1" applyFill="1" applyBorder="1"/>
    <xf numFmtId="0" fontId="2" fillId="0" borderId="17" xfId="0" applyFont="1" applyBorder="1" applyAlignment="1">
      <alignment horizontal="right"/>
    </xf>
    <xf numFmtId="164" fontId="0" fillId="0" borderId="9" xfId="2" applyFont="1" applyBorder="1"/>
    <xf numFmtId="168" fontId="0" fillId="0" borderId="9" xfId="2" applyNumberFormat="1" applyFont="1" applyBorder="1"/>
    <xf numFmtId="0" fontId="20" fillId="5" borderId="27" xfId="0" applyFont="1" applyFill="1" applyBorder="1"/>
    <xf numFmtId="164" fontId="20" fillId="5" borderId="28" xfId="2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64" fontId="0" fillId="0" borderId="7" xfId="0" applyNumberFormat="1" applyBorder="1" applyAlignment="1">
      <alignment horizontal="center" vertical="center"/>
    </xf>
    <xf numFmtId="164" fontId="9" fillId="0" borderId="10" xfId="2" applyFont="1" applyBorder="1" applyAlignment="1"/>
    <xf numFmtId="164" fontId="2" fillId="3" borderId="8" xfId="2" applyFont="1" applyFill="1" applyBorder="1"/>
    <xf numFmtId="164" fontId="2" fillId="0" borderId="8" xfId="2" applyFont="1" applyBorder="1"/>
    <xf numFmtId="164" fontId="3" fillId="3" borderId="10" xfId="2" applyFont="1" applyFill="1" applyBorder="1"/>
    <xf numFmtId="164" fontId="3" fillId="0" borderId="10" xfId="2" applyFont="1" applyBorder="1"/>
    <xf numFmtId="164" fontId="3" fillId="0" borderId="10" xfId="2" applyFont="1" applyBorder="1" applyAlignment="1">
      <alignment horizontal="right"/>
    </xf>
    <xf numFmtId="164" fontId="3" fillId="3" borderId="15" xfId="2" applyFont="1" applyFill="1" applyBorder="1"/>
    <xf numFmtId="164" fontId="2" fillId="3" borderId="19" xfId="2" applyFont="1" applyFill="1" applyBorder="1"/>
    <xf numFmtId="164" fontId="0" fillId="3" borderId="19" xfId="2" applyFont="1" applyFill="1" applyBorder="1"/>
    <xf numFmtId="164" fontId="3" fillId="0" borderId="11" xfId="2" applyFont="1" applyBorder="1" applyAlignment="1">
      <alignment horizontal="right"/>
    </xf>
    <xf numFmtId="164" fontId="9" fillId="0" borderId="11" xfId="2" applyFont="1" applyBorder="1"/>
    <xf numFmtId="164" fontId="3" fillId="0" borderId="11" xfId="2" applyFont="1" applyBorder="1"/>
    <xf numFmtId="0" fontId="0" fillId="0" borderId="29" xfId="0" applyBorder="1"/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right"/>
    </xf>
    <xf numFmtId="164" fontId="9" fillId="0" borderId="29" xfId="2" applyFont="1" applyBorder="1" applyProtection="1">
      <protection locked="0"/>
    </xf>
    <xf numFmtId="0" fontId="20" fillId="4" borderId="29" xfId="0" applyFont="1" applyFill="1" applyBorder="1"/>
    <xf numFmtId="0" fontId="21" fillId="4" borderId="29" xfId="0" applyFont="1" applyFill="1" applyBorder="1"/>
    <xf numFmtId="0" fontId="29" fillId="4" borderId="29" xfId="0" applyFont="1" applyFill="1" applyBorder="1"/>
    <xf numFmtId="164" fontId="0" fillId="0" borderId="0" xfId="2" applyFont="1" applyAlignment="1">
      <alignment horizontal="center" vertical="center" wrapText="1"/>
    </xf>
    <xf numFmtId="0" fontId="3" fillId="0" borderId="25" xfId="0" applyFont="1" applyFill="1" applyBorder="1"/>
    <xf numFmtId="0" fontId="0" fillId="0" borderId="17" xfId="0" applyBorder="1"/>
    <xf numFmtId="0" fontId="20" fillId="4" borderId="15" xfId="0" applyFont="1" applyFill="1" applyBorder="1"/>
    <xf numFmtId="0" fontId="20" fillId="4" borderId="16" xfId="0" applyFont="1" applyFill="1" applyBorder="1"/>
    <xf numFmtId="0" fontId="20" fillId="4" borderId="10" xfId="0" applyFont="1" applyFill="1" applyBorder="1" applyAlignment="1">
      <alignment horizontal="right"/>
    </xf>
    <xf numFmtId="0" fontId="20" fillId="4" borderId="11" xfId="0" applyFont="1" applyFill="1" applyBorder="1" applyAlignment="1">
      <alignment horizontal="right"/>
    </xf>
    <xf numFmtId="0" fontId="20" fillId="4" borderId="12" xfId="0" applyFont="1" applyFill="1" applyBorder="1"/>
    <xf numFmtId="0" fontId="20" fillId="4" borderId="31" xfId="0" applyFont="1" applyFill="1" applyBorder="1"/>
    <xf numFmtId="0" fontId="20" fillId="4" borderId="30" xfId="0" applyFont="1" applyFill="1" applyBorder="1"/>
    <xf numFmtId="0" fontId="0" fillId="0" borderId="34" xfId="0" applyBorder="1" applyAlignment="1">
      <alignment horizontal="right"/>
    </xf>
    <xf numFmtId="0" fontId="20" fillId="4" borderId="36" xfId="0" applyFont="1" applyFill="1" applyBorder="1"/>
    <xf numFmtId="0" fontId="0" fillId="0" borderId="32" xfId="0" applyBorder="1" applyAlignment="1">
      <alignment horizontal="right"/>
    </xf>
    <xf numFmtId="0" fontId="20" fillId="4" borderId="33" xfId="0" applyFont="1" applyFill="1" applyBorder="1" applyAlignment="1">
      <alignment horizontal="right"/>
    </xf>
    <xf numFmtId="0" fontId="0" fillId="3" borderId="32" xfId="0" applyFill="1" applyBorder="1" applyAlignment="1">
      <alignment horizontal="right"/>
    </xf>
    <xf numFmtId="0" fontId="0" fillId="3" borderId="34" xfId="0" applyFill="1" applyBorder="1" applyAlignment="1">
      <alignment horizontal="right"/>
    </xf>
    <xf numFmtId="0" fontId="0" fillId="3" borderId="17" xfId="0" applyFill="1" applyBorder="1"/>
    <xf numFmtId="0" fontId="0" fillId="3" borderId="37" xfId="0" applyFill="1" applyBorder="1" applyAlignment="1">
      <alignment horizontal="right"/>
    </xf>
    <xf numFmtId="0" fontId="0" fillId="3" borderId="12" xfId="0" applyFill="1" applyBorder="1"/>
    <xf numFmtId="0" fontId="0" fillId="3" borderId="35" xfId="0" applyFill="1" applyBorder="1" applyAlignment="1">
      <alignment horizontal="right"/>
    </xf>
    <xf numFmtId="0" fontId="0" fillId="3" borderId="18" xfId="0" applyFill="1" applyBorder="1"/>
    <xf numFmtId="169" fontId="0" fillId="0" borderId="22" xfId="2" applyNumberFormat="1" applyFont="1" applyBorder="1"/>
    <xf numFmtId="0" fontId="21" fillId="4" borderId="39" xfId="0" applyFont="1" applyFill="1" applyBorder="1" applyAlignment="1">
      <alignment horizontal="right"/>
    </xf>
    <xf numFmtId="0" fontId="21" fillId="4" borderId="40" xfId="0" applyFont="1" applyFill="1" applyBorder="1" applyAlignment="1">
      <alignment horizontal="right"/>
    </xf>
    <xf numFmtId="0" fontId="21" fillId="7" borderId="38" xfId="0" applyFont="1" applyFill="1" applyBorder="1" applyAlignment="1">
      <alignment horizontal="right"/>
    </xf>
    <xf numFmtId="0" fontId="21" fillId="7" borderId="39" xfId="0" applyFont="1" applyFill="1" applyBorder="1" applyAlignment="1">
      <alignment horizontal="right"/>
    </xf>
    <xf numFmtId="0" fontId="0" fillId="8" borderId="22" xfId="0" applyFill="1" applyBorder="1"/>
    <xf numFmtId="169" fontId="0" fillId="8" borderId="22" xfId="0" applyNumberFormat="1" applyFill="1" applyBorder="1"/>
    <xf numFmtId="0" fontId="0" fillId="4" borderId="0" xfId="0" applyFill="1" applyBorder="1"/>
    <xf numFmtId="0" fontId="0" fillId="4" borderId="41" xfId="0" applyFill="1" applyBorder="1"/>
    <xf numFmtId="0" fontId="0" fillId="0" borderId="41" xfId="0" applyBorder="1"/>
    <xf numFmtId="0" fontId="0" fillId="8" borderId="41" xfId="0" applyFill="1" applyBorder="1"/>
    <xf numFmtId="0" fontId="0" fillId="4" borderId="15" xfId="0" applyFill="1" applyBorder="1" applyAlignment="1">
      <alignment horizontal="right"/>
    </xf>
    <xf numFmtId="0" fontId="0" fillId="4" borderId="16" xfId="0" applyFill="1" applyBorder="1"/>
    <xf numFmtId="0" fontId="0" fillId="4" borderId="43" xfId="0" applyFill="1" applyBorder="1" applyAlignment="1">
      <alignment horizontal="right"/>
    </xf>
    <xf numFmtId="0" fontId="0" fillId="0" borderId="44" xfId="0" applyBorder="1"/>
    <xf numFmtId="0" fontId="0" fillId="8" borderId="43" xfId="0" applyFill="1" applyBorder="1" applyAlignment="1">
      <alignment horizontal="right"/>
    </xf>
    <xf numFmtId="0" fontId="0" fillId="8" borderId="44" xfId="0" applyFill="1" applyBorder="1"/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0" fillId="4" borderId="12" xfId="0" applyFill="1" applyBorder="1"/>
    <xf numFmtId="0" fontId="0" fillId="0" borderId="18" xfId="0" applyBorder="1"/>
    <xf numFmtId="0" fontId="21" fillId="4" borderId="15" xfId="0" applyFont="1" applyFill="1" applyBorder="1" applyAlignment="1">
      <alignment horizontal="right"/>
    </xf>
    <xf numFmtId="0" fontId="21" fillId="4" borderId="43" xfId="0" applyFont="1" applyFill="1" applyBorder="1" applyAlignment="1">
      <alignment horizontal="right"/>
    </xf>
    <xf numFmtId="0" fontId="21" fillId="4" borderId="41" xfId="0" applyFont="1" applyFill="1" applyBorder="1"/>
    <xf numFmtId="0" fontId="21" fillId="4" borderId="10" xfId="0" applyFont="1" applyFill="1" applyBorder="1" applyAlignment="1">
      <alignment horizontal="right"/>
    </xf>
    <xf numFmtId="0" fontId="21" fillId="4" borderId="0" xfId="0" applyFont="1" applyFill="1" applyBorder="1"/>
    <xf numFmtId="0" fontId="21" fillId="4" borderId="11" xfId="0" applyFont="1" applyFill="1" applyBorder="1" applyAlignment="1">
      <alignment horizontal="right"/>
    </xf>
    <xf numFmtId="0" fontId="21" fillId="4" borderId="12" xfId="0" applyFont="1" applyFill="1" applyBorder="1"/>
    <xf numFmtId="0" fontId="21" fillId="4" borderId="42" xfId="0" applyFont="1" applyFill="1" applyBorder="1"/>
    <xf numFmtId="0" fontId="3" fillId="8" borderId="43" xfId="0" applyFont="1" applyFill="1" applyBorder="1" applyAlignment="1">
      <alignment horizontal="right"/>
    </xf>
    <xf numFmtId="0" fontId="3" fillId="8" borderId="41" xfId="0" applyFont="1" applyFill="1" applyBorder="1"/>
    <xf numFmtId="0" fontId="21" fillId="4" borderId="19" xfId="0" applyFont="1" applyFill="1" applyBorder="1"/>
    <xf numFmtId="0" fontId="0" fillId="0" borderId="45" xfId="0" applyBorder="1"/>
    <xf numFmtId="0" fontId="0" fillId="8" borderId="45" xfId="0" applyFill="1" applyBorder="1"/>
    <xf numFmtId="0" fontId="0" fillId="8" borderId="46" xfId="0" applyFill="1" applyBorder="1" applyAlignment="1">
      <alignment horizontal="right"/>
    </xf>
    <xf numFmtId="0" fontId="0" fillId="8" borderId="47" xfId="0" applyFill="1" applyBorder="1"/>
    <xf numFmtId="0" fontId="0" fillId="8" borderId="48" xfId="0" applyFill="1" applyBorder="1"/>
    <xf numFmtId="0" fontId="0" fillId="8" borderId="49" xfId="0" applyFill="1" applyBorder="1"/>
    <xf numFmtId="0" fontId="0" fillId="8" borderId="50" xfId="0" applyFill="1" applyBorder="1"/>
    <xf numFmtId="0" fontId="0" fillId="8" borderId="24" xfId="0" applyFill="1" applyBorder="1"/>
    <xf numFmtId="0" fontId="0" fillId="8" borderId="51" xfId="0" applyFill="1" applyBorder="1"/>
    <xf numFmtId="0" fontId="0" fillId="4" borderId="52" xfId="0" applyFill="1" applyBorder="1" applyAlignment="1">
      <alignment horizontal="right"/>
    </xf>
    <xf numFmtId="0" fontId="0" fillId="4" borderId="17" xfId="0" applyFill="1" applyBorder="1" applyAlignment="1">
      <alignment horizontal="right"/>
    </xf>
    <xf numFmtId="0" fontId="0" fillId="8" borderId="17" xfId="0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0" fontId="0" fillId="0" borderId="50" xfId="0" applyBorder="1"/>
    <xf numFmtId="0" fontId="0" fillId="0" borderId="51" xfId="0" applyBorder="1"/>
    <xf numFmtId="0" fontId="21" fillId="4" borderId="13" xfId="0" applyFont="1" applyFill="1" applyBorder="1" applyAlignment="1">
      <alignment horizontal="right"/>
    </xf>
    <xf numFmtId="0" fontId="21" fillId="4" borderId="20" xfId="0" applyFont="1" applyFill="1" applyBorder="1" applyAlignment="1">
      <alignment horizontal="right"/>
    </xf>
    <xf numFmtId="0" fontId="21" fillId="4" borderId="13" xfId="0" applyFont="1" applyFill="1" applyBorder="1"/>
    <xf numFmtId="0" fontId="21" fillId="4" borderId="7" xfId="0" applyFont="1" applyFill="1" applyBorder="1"/>
    <xf numFmtId="0" fontId="21" fillId="4" borderId="14" xfId="0" applyFont="1" applyFill="1" applyBorder="1"/>
    <xf numFmtId="0" fontId="21" fillId="4" borderId="20" xfId="0" applyFont="1" applyFill="1" applyBorder="1"/>
    <xf numFmtId="0" fontId="0" fillId="0" borderId="5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8" borderId="52" xfId="0" applyFill="1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11" xfId="0" applyBorder="1" applyAlignment="1">
      <alignment horizontal="right"/>
    </xf>
    <xf numFmtId="0" fontId="21" fillId="4" borderId="7" xfId="0" applyFont="1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8" borderId="8" xfId="0" applyFill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8" borderId="9" xfId="0" applyFill="1" applyBorder="1" applyAlignment="1">
      <alignment horizontal="right"/>
    </xf>
    <xf numFmtId="0" fontId="0" fillId="8" borderId="53" xfId="0" applyFill="1" applyBorder="1" applyAlignment="1">
      <alignment horizontal="right"/>
    </xf>
    <xf numFmtId="0" fontId="0" fillId="8" borderId="54" xfId="0" applyFill="1" applyBorder="1"/>
    <xf numFmtId="0" fontId="0" fillId="8" borderId="55" xfId="0" applyFill="1" applyBorder="1"/>
    <xf numFmtId="164" fontId="0" fillId="6" borderId="26" xfId="2" applyNumberFormat="1" applyFont="1" applyFill="1" applyBorder="1"/>
    <xf numFmtId="164" fontId="0" fillId="0" borderId="26" xfId="2" applyNumberFormat="1" applyFont="1" applyBorder="1"/>
    <xf numFmtId="164" fontId="10" fillId="6" borderId="26" xfId="0" applyNumberFormat="1" applyFont="1" applyFill="1" applyBorder="1"/>
    <xf numFmtId="164" fontId="3" fillId="6" borderId="26" xfId="2" applyNumberFormat="1" applyFont="1" applyFill="1" applyBorder="1"/>
    <xf numFmtId="164" fontId="3" fillId="6" borderId="26" xfId="0" applyNumberFormat="1" applyFont="1" applyFill="1" applyBorder="1"/>
    <xf numFmtId="164" fontId="3" fillId="0" borderId="26" xfId="2" applyNumberFormat="1" applyFont="1" applyBorder="1"/>
    <xf numFmtId="10" fontId="0" fillId="6" borderId="56" xfId="1" applyNumberFormat="1" applyFont="1" applyFill="1" applyBorder="1" applyAlignment="1">
      <alignment horizontal="right"/>
    </xf>
    <xf numFmtId="10" fontId="0" fillId="0" borderId="56" xfId="1" applyNumberFormat="1" applyFont="1" applyBorder="1" applyAlignment="1">
      <alignment horizontal="right"/>
    </xf>
    <xf numFmtId="166" fontId="3" fillId="0" borderId="2" xfId="2" applyNumberFormat="1" applyFont="1" applyBorder="1"/>
    <xf numFmtId="164" fontId="3" fillId="0" borderId="1" xfId="2" applyFont="1" applyBorder="1"/>
    <xf numFmtId="164" fontId="3" fillId="0" borderId="2" xfId="2" applyFont="1" applyBorder="1"/>
    <xf numFmtId="164" fontId="3" fillId="0" borderId="0" xfId="0" applyNumberFormat="1" applyFont="1"/>
    <xf numFmtId="10" fontId="32" fillId="0" borderId="1" xfId="1" applyNumberFormat="1" applyFont="1" applyBorder="1"/>
    <xf numFmtId="164" fontId="32" fillId="0" borderId="1" xfId="2" applyFont="1" applyBorder="1"/>
    <xf numFmtId="166" fontId="32" fillId="0" borderId="1" xfId="2" applyNumberFormat="1" applyFont="1" applyBorder="1"/>
    <xf numFmtId="164" fontId="32" fillId="0" borderId="1" xfId="2" applyNumberFormat="1" applyFont="1" applyBorder="1"/>
    <xf numFmtId="164" fontId="6" fillId="0" borderId="2" xfId="2" applyFont="1" applyBorder="1"/>
    <xf numFmtId="164" fontId="6" fillId="0" borderId="1" xfId="2" applyFont="1" applyBorder="1"/>
    <xf numFmtId="0" fontId="8" fillId="0" borderId="0" xfId="0" applyFont="1" applyAlignment="1">
      <alignment horizontal="right"/>
    </xf>
    <xf numFmtId="0" fontId="33" fillId="0" borderId="0" xfId="0" applyNumberFormat="1" applyFont="1"/>
    <xf numFmtId="164" fontId="33" fillId="0" borderId="0" xfId="0" applyNumberFormat="1" applyFont="1"/>
    <xf numFmtId="164" fontId="0" fillId="0" borderId="0" xfId="2" applyNumberFormat="1" applyFont="1"/>
    <xf numFmtId="0" fontId="20" fillId="5" borderId="28" xfId="0" applyFont="1" applyFill="1" applyBorder="1" applyAlignment="1">
      <alignment horizontal="center" vertical="center" wrapText="1"/>
    </xf>
    <xf numFmtId="0" fontId="20" fillId="5" borderId="58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" fillId="0" borderId="59" xfId="0" applyFont="1" applyBorder="1"/>
    <xf numFmtId="0" fontId="2" fillId="0" borderId="59" xfId="0" applyNumberFormat="1" applyFont="1" applyBorder="1"/>
    <xf numFmtId="164" fontId="2" fillId="0" borderId="59" xfId="0" applyNumberFormat="1" applyFont="1" applyBorder="1"/>
    <xf numFmtId="0" fontId="2" fillId="0" borderId="60" xfId="0" applyFont="1" applyBorder="1"/>
    <xf numFmtId="0" fontId="2" fillId="0" borderId="61" xfId="0" applyFont="1" applyBorder="1"/>
    <xf numFmtId="164" fontId="2" fillId="0" borderId="59" xfId="2" applyFont="1" applyBorder="1"/>
    <xf numFmtId="164" fontId="0" fillId="0" borderId="41" xfId="0" applyNumberFormat="1" applyBorder="1"/>
    <xf numFmtId="0" fontId="2" fillId="4" borderId="0" xfId="0" applyFont="1" applyFill="1" applyBorder="1" applyAlignment="1">
      <alignment horizontal="right"/>
    </xf>
    <xf numFmtId="164" fontId="9" fillId="0" borderId="0" xfId="2" applyFont="1" applyBorder="1"/>
    <xf numFmtId="164" fontId="37" fillId="0" borderId="9" xfId="2" applyFont="1" applyBorder="1"/>
    <xf numFmtId="0" fontId="0" fillId="0" borderId="25" xfId="0" applyBorder="1"/>
    <xf numFmtId="0" fontId="0" fillId="9" borderId="62" xfId="0" applyFont="1" applyFill="1" applyBorder="1" applyAlignment="1">
      <alignment horizontal="right"/>
    </xf>
    <xf numFmtId="166" fontId="0" fillId="9" borderId="63" xfId="2" applyNumberFormat="1" applyFont="1" applyFill="1" applyBorder="1" applyAlignment="1">
      <alignment horizontal="right"/>
    </xf>
    <xf numFmtId="166" fontId="0" fillId="9" borderId="64" xfId="2" applyNumberFormat="1" applyFont="1" applyFill="1" applyBorder="1" applyAlignment="1">
      <alignment horizontal="right"/>
    </xf>
    <xf numFmtId="0" fontId="0" fillId="6" borderId="62" xfId="0" applyFont="1" applyFill="1" applyBorder="1" applyAlignment="1">
      <alignment horizontal="right"/>
    </xf>
    <xf numFmtId="166" fontId="0" fillId="6" borderId="63" xfId="2" applyNumberFormat="1" applyFont="1" applyFill="1" applyBorder="1" applyAlignment="1">
      <alignment horizontal="right"/>
    </xf>
    <xf numFmtId="166" fontId="0" fillId="6" borderId="64" xfId="2" applyNumberFormat="1" applyFont="1" applyFill="1" applyBorder="1" applyAlignment="1">
      <alignment horizontal="right"/>
    </xf>
    <xf numFmtId="172" fontId="0" fillId="0" borderId="0" xfId="0" applyNumberFormat="1"/>
    <xf numFmtId="0" fontId="0" fillId="0" borderId="0" xfId="0" applyFont="1" applyFill="1" applyAlignment="1">
      <alignment horizontal="right"/>
    </xf>
    <xf numFmtId="166" fontId="0" fillId="0" borderId="0" xfId="2" applyNumberFormat="1" applyFont="1" applyFill="1" applyAlignment="1">
      <alignment horizontal="right"/>
    </xf>
    <xf numFmtId="164" fontId="3" fillId="0" borderId="29" xfId="2" applyFont="1" applyBorder="1" applyProtection="1">
      <protection locked="0"/>
    </xf>
    <xf numFmtId="164" fontId="29" fillId="4" borderId="29" xfId="0" applyNumberFormat="1" applyFont="1" applyFill="1" applyBorder="1"/>
    <xf numFmtId="164" fontId="0" fillId="0" borderId="0" xfId="2" applyFont="1" applyAlignment="1">
      <alignment horizontal="left"/>
    </xf>
    <xf numFmtId="0" fontId="0" fillId="0" borderId="65" xfId="0" applyBorder="1" applyAlignment="1">
      <alignment horizontal="right"/>
    </xf>
    <xf numFmtId="164" fontId="9" fillId="0" borderId="65" xfId="2" applyFont="1" applyBorder="1" applyProtection="1">
      <protection locked="0"/>
    </xf>
    <xf numFmtId="0" fontId="0" fillId="0" borderId="65" xfId="0" applyBorder="1" applyAlignment="1">
      <alignment horizontal="left"/>
    </xf>
    <xf numFmtId="164" fontId="20" fillId="4" borderId="29" xfId="0" applyNumberFormat="1" applyFont="1" applyFill="1" applyBorder="1"/>
    <xf numFmtId="164" fontId="21" fillId="0" borderId="0" xfId="0" applyNumberFormat="1" applyFont="1"/>
    <xf numFmtId="0" fontId="21" fillId="0" borderId="0" xfId="0" applyFont="1"/>
    <xf numFmtId="0" fontId="38" fillId="0" borderId="0" xfId="0" applyFont="1" applyBorder="1"/>
    <xf numFmtId="0" fontId="20" fillId="4" borderId="29" xfId="0" applyFont="1" applyFill="1" applyBorder="1" applyAlignment="1">
      <alignment horizontal="right"/>
    </xf>
    <xf numFmtId="0" fontId="2" fillId="4" borderId="29" xfId="0" applyFont="1" applyFill="1" applyBorder="1" applyAlignment="1">
      <alignment horizontal="right"/>
    </xf>
    <xf numFmtId="164" fontId="0" fillId="0" borderId="66" xfId="2" applyFont="1" applyBorder="1"/>
    <xf numFmtId="164" fontId="0" fillId="0" borderId="29" xfId="2" applyFont="1" applyBorder="1"/>
    <xf numFmtId="0" fontId="20" fillId="4" borderId="67" xfId="0" applyFont="1" applyFill="1" applyBorder="1"/>
    <xf numFmtId="0" fontId="20" fillId="4" borderId="68" xfId="0" applyFont="1" applyFill="1" applyBorder="1"/>
    <xf numFmtId="0" fontId="20" fillId="4" borderId="68" xfId="0" applyFont="1" applyFill="1" applyBorder="1" applyAlignment="1">
      <alignment horizontal="right"/>
    </xf>
    <xf numFmtId="164" fontId="3" fillId="3" borderId="69" xfId="2" applyFont="1" applyFill="1" applyBorder="1"/>
    <xf numFmtId="0" fontId="0" fillId="3" borderId="68" xfId="0" applyFill="1" applyBorder="1" applyAlignment="1">
      <alignment horizontal="left"/>
    </xf>
    <xf numFmtId="0" fontId="0" fillId="3" borderId="70" xfId="0" applyFill="1" applyBorder="1" applyAlignment="1">
      <alignment horizontal="left"/>
    </xf>
    <xf numFmtId="0" fontId="20" fillId="4" borderId="71" xfId="0" applyFont="1" applyFill="1" applyBorder="1"/>
    <xf numFmtId="0" fontId="0" fillId="0" borderId="72" xfId="0" applyBorder="1"/>
    <xf numFmtId="0" fontId="0" fillId="3" borderId="72" xfId="0" applyFill="1" applyBorder="1"/>
    <xf numFmtId="0" fontId="0" fillId="3" borderId="72" xfId="0" applyFill="1" applyBorder="1" applyAlignment="1">
      <alignment horizontal="left"/>
    </xf>
    <xf numFmtId="0" fontId="0" fillId="0" borderId="73" xfId="0" applyBorder="1"/>
    <xf numFmtId="0" fontId="0" fillId="0" borderId="72" xfId="0" applyBorder="1" applyAlignment="1">
      <alignment horizontal="left"/>
    </xf>
    <xf numFmtId="0" fontId="20" fillId="4" borderId="71" xfId="0" applyFont="1" applyFill="1" applyBorder="1" applyAlignment="1">
      <alignment horizontal="right"/>
    </xf>
    <xf numFmtId="0" fontId="20" fillId="4" borderId="74" xfId="0" applyFont="1" applyFill="1" applyBorder="1" applyAlignment="1">
      <alignment horizontal="right"/>
    </xf>
    <xf numFmtId="0" fontId="0" fillId="0" borderId="75" xfId="0" applyBorder="1"/>
    <xf numFmtId="0" fontId="20" fillId="4" borderId="74" xfId="0" applyFont="1" applyFill="1" applyBorder="1"/>
    <xf numFmtId="164" fontId="0" fillId="0" borderId="68" xfId="2" applyFont="1" applyBorder="1"/>
    <xf numFmtId="0" fontId="0" fillId="0" borderId="68" xfId="0" applyBorder="1"/>
    <xf numFmtId="0" fontId="0" fillId="0" borderId="70" xfId="0" applyBorder="1"/>
    <xf numFmtId="164" fontId="0" fillId="3" borderId="76" xfId="2" applyFont="1" applyFill="1" applyBorder="1"/>
    <xf numFmtId="0" fontId="0" fillId="3" borderId="76" xfId="0" applyFill="1" applyBorder="1"/>
    <xf numFmtId="0" fontId="0" fillId="3" borderId="77" xfId="0" applyFill="1" applyBorder="1"/>
    <xf numFmtId="0" fontId="38" fillId="3" borderId="0" xfId="0" applyFont="1" applyFill="1" applyBorder="1"/>
    <xf numFmtId="0" fontId="39" fillId="7" borderId="78" xfId="0" applyFont="1" applyFill="1" applyBorder="1" applyAlignment="1">
      <alignment horizontal="right" vertical="center"/>
    </xf>
    <xf numFmtId="164" fontId="40" fillId="7" borderId="79" xfId="2" applyNumberFormat="1" applyFont="1" applyFill="1" applyBorder="1" applyAlignment="1">
      <alignment horizontal="right"/>
    </xf>
    <xf numFmtId="164" fontId="0" fillId="0" borderId="9" xfId="2" applyNumberFormat="1" applyFont="1" applyBorder="1"/>
    <xf numFmtId="43" fontId="0" fillId="0" borderId="0" xfId="0" applyNumberFormat="1"/>
    <xf numFmtId="0" fontId="21" fillId="4" borderId="8" xfId="0" applyFont="1" applyFill="1" applyBorder="1" applyAlignment="1">
      <alignment horizontal="center" vertical="center" wrapText="1"/>
    </xf>
    <xf numFmtId="166" fontId="0" fillId="0" borderId="0" xfId="0" applyNumberFormat="1"/>
    <xf numFmtId="173" fontId="0" fillId="0" borderId="0" xfId="0" applyNumberFormat="1"/>
    <xf numFmtId="168" fontId="0" fillId="0" borderId="8" xfId="2" applyNumberFormat="1" applyFont="1" applyBorder="1"/>
    <xf numFmtId="168" fontId="0" fillId="3" borderId="8" xfId="2" applyNumberFormat="1" applyFont="1" applyFill="1" applyBorder="1"/>
    <xf numFmtId="164" fontId="0" fillId="0" borderId="29" xfId="2" applyFont="1" applyBorder="1" applyAlignment="1">
      <alignment horizontal="right"/>
    </xf>
    <xf numFmtId="164" fontId="20" fillId="4" borderId="29" xfId="2" applyFont="1" applyFill="1" applyBorder="1"/>
    <xf numFmtId="164" fontId="0" fillId="0" borderId="0" xfId="2" applyNumberFormat="1" applyFont="1" applyBorder="1"/>
    <xf numFmtId="174" fontId="0" fillId="3" borderId="8" xfId="2" applyNumberFormat="1" applyFont="1" applyFill="1" applyBorder="1"/>
    <xf numFmtId="164" fontId="3" fillId="0" borderId="8" xfId="2" applyFont="1" applyBorder="1" applyAlignment="1">
      <alignment horizontal="right"/>
    </xf>
    <xf numFmtId="164" fontId="3" fillId="0" borderId="0" xfId="2" applyFont="1" applyBorder="1" applyAlignment="1">
      <alignment horizontal="right"/>
    </xf>
    <xf numFmtId="164" fontId="3" fillId="0" borderId="0" xfId="2" applyFont="1" applyBorder="1"/>
    <xf numFmtId="0" fontId="20" fillId="0" borderId="0" xfId="0" applyFont="1" applyFill="1" applyBorder="1" applyAlignment="1">
      <alignment horizontal="center" vertical="center" wrapText="1"/>
    </xf>
    <xf numFmtId="164" fontId="0" fillId="0" borderId="0" xfId="2" applyNumberFormat="1" applyFont="1" applyFill="1" applyBorder="1"/>
    <xf numFmtId="43" fontId="0" fillId="8" borderId="21" xfId="0" applyNumberFormat="1" applyFill="1" applyBorder="1"/>
    <xf numFmtId="175" fontId="0" fillId="0" borderId="0" xfId="0" applyNumberFormat="1"/>
    <xf numFmtId="0" fontId="21" fillId="0" borderId="0" xfId="0" applyFont="1" applyBorder="1"/>
    <xf numFmtId="0" fontId="21" fillId="0" borderId="29" xfId="0" applyFont="1" applyBorder="1"/>
    <xf numFmtId="164" fontId="21" fillId="0" borderId="0" xfId="2" applyFont="1"/>
    <xf numFmtId="164" fontId="0" fillId="0" borderId="25" xfId="2" applyFont="1" applyBorder="1" applyAlignment="1">
      <alignment horizontal="center"/>
    </xf>
    <xf numFmtId="164" fontId="0" fillId="0" borderId="0" xfId="2" applyFont="1" applyBorder="1" applyAlignment="1">
      <alignment horizontal="center"/>
    </xf>
    <xf numFmtId="164" fontId="3" fillId="0" borderId="14" xfId="2" applyFont="1" applyBorder="1" applyAlignment="1">
      <alignment horizontal="right"/>
    </xf>
    <xf numFmtId="164" fontId="9" fillId="0" borderId="14" xfId="2" applyFont="1" applyBorder="1"/>
    <xf numFmtId="164" fontId="3" fillId="0" borderId="14" xfId="2" applyFont="1" applyBorder="1"/>
    <xf numFmtId="164" fontId="0" fillId="0" borderId="14" xfId="2" applyFont="1" applyBorder="1"/>
    <xf numFmtId="164" fontId="0" fillId="0" borderId="19" xfId="2" applyFont="1" applyFill="1" applyBorder="1"/>
    <xf numFmtId="164" fontId="0" fillId="3" borderId="9" xfId="2" applyFont="1" applyFill="1" applyBorder="1"/>
    <xf numFmtId="164" fontId="0" fillId="3" borderId="12" xfId="2" applyFont="1" applyFill="1" applyBorder="1"/>
    <xf numFmtId="164" fontId="0" fillId="3" borderId="8" xfId="2" applyFont="1" applyFill="1" applyBorder="1" applyAlignment="1">
      <alignment horizontal="right"/>
    </xf>
    <xf numFmtId="164" fontId="0" fillId="3" borderId="9" xfId="2" applyFont="1" applyFill="1" applyBorder="1" applyAlignment="1">
      <alignment horizontal="right"/>
    </xf>
    <xf numFmtId="0" fontId="21" fillId="4" borderId="80" xfId="0" applyFont="1" applyFill="1" applyBorder="1"/>
    <xf numFmtId="0" fontId="3" fillId="0" borderId="0" xfId="0" applyFont="1"/>
    <xf numFmtId="2" fontId="0" fillId="0" borderId="0" xfId="0" applyNumberFormat="1"/>
    <xf numFmtId="0" fontId="21" fillId="0" borderId="0" xfId="0" applyFont="1" applyFill="1" applyBorder="1"/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164" fontId="9" fillId="0" borderId="0" xfId="2" applyNumberFormat="1" applyFont="1" applyFill="1" applyBorder="1" applyProtection="1">
      <protection locked="0"/>
    </xf>
    <xf numFmtId="164" fontId="31" fillId="6" borderId="26" xfId="2" applyNumberFormat="1" applyFont="1" applyFill="1" applyBorder="1" applyProtection="1">
      <protection locked="0"/>
    </xf>
    <xf numFmtId="164" fontId="31" fillId="6" borderId="57" xfId="2" applyNumberFormat="1" applyFont="1" applyFill="1" applyBorder="1" applyProtection="1">
      <protection locked="0"/>
    </xf>
    <xf numFmtId="164" fontId="31" fillId="0" borderId="26" xfId="2" applyNumberFormat="1" applyFont="1" applyBorder="1" applyProtection="1">
      <protection locked="0"/>
    </xf>
    <xf numFmtId="164" fontId="31" fillId="0" borderId="57" xfId="2" applyNumberFormat="1" applyFont="1" applyBorder="1" applyProtection="1">
      <protection locked="0"/>
    </xf>
    <xf numFmtId="0" fontId="0" fillId="6" borderId="26" xfId="0" applyFont="1" applyFill="1" applyBorder="1" applyAlignment="1" applyProtection="1">
      <alignment horizontal="left"/>
      <protection locked="0"/>
    </xf>
    <xf numFmtId="0" fontId="0" fillId="0" borderId="26" xfId="0" applyFont="1" applyBorder="1" applyAlignment="1" applyProtection="1">
      <alignment horizontal="left"/>
      <protection locked="0"/>
    </xf>
    <xf numFmtId="0" fontId="9" fillId="3" borderId="25" xfId="0" applyFont="1" applyFill="1" applyBorder="1" applyProtection="1">
      <protection locked="0"/>
    </xf>
    <xf numFmtId="164" fontId="9" fillId="0" borderId="0" xfId="2" applyFont="1" applyBorder="1" applyProtection="1">
      <protection locked="0"/>
    </xf>
    <xf numFmtId="164" fontId="9" fillId="3" borderId="0" xfId="2" applyFont="1" applyFill="1" applyBorder="1" applyProtection="1">
      <protection locked="0"/>
    </xf>
    <xf numFmtId="0" fontId="9" fillId="0" borderId="66" xfId="0" applyFont="1" applyBorder="1" applyProtection="1">
      <protection locked="0"/>
    </xf>
    <xf numFmtId="164" fontId="9" fillId="0" borderId="25" xfId="2" applyFont="1" applyBorder="1" applyProtection="1">
      <protection locked="0"/>
    </xf>
    <xf numFmtId="0" fontId="9" fillId="0" borderId="25" xfId="0" applyFont="1" applyBorder="1" applyProtection="1">
      <protection locked="0"/>
    </xf>
    <xf numFmtId="164" fontId="9" fillId="0" borderId="24" xfId="2" applyFont="1" applyBorder="1" applyProtection="1">
      <protection locked="0"/>
    </xf>
    <xf numFmtId="0" fontId="9" fillId="0" borderId="24" xfId="0" applyFont="1" applyBorder="1" applyProtection="1">
      <protection locked="0"/>
    </xf>
    <xf numFmtId="0" fontId="19" fillId="0" borderId="0" xfId="0" applyFont="1" applyAlignment="1">
      <alignment horizontal="right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9" fontId="9" fillId="0" borderId="0" xfId="1" applyFont="1" applyProtection="1">
      <protection locked="0"/>
    </xf>
    <xf numFmtId="164" fontId="9" fillId="0" borderId="10" xfId="2" applyFont="1" applyFill="1" applyBorder="1" applyProtection="1">
      <protection locked="0"/>
    </xf>
    <xf numFmtId="164" fontId="9" fillId="3" borderId="10" xfId="2" applyFont="1" applyFill="1" applyBorder="1" applyProtection="1">
      <protection locked="0"/>
    </xf>
    <xf numFmtId="164" fontId="9" fillId="0" borderId="10" xfId="2" applyFont="1" applyBorder="1" applyProtection="1">
      <protection locked="0"/>
    </xf>
    <xf numFmtId="164" fontId="9" fillId="3" borderId="8" xfId="2" applyFont="1" applyFill="1" applyBorder="1" applyProtection="1">
      <protection locked="0"/>
    </xf>
    <xf numFmtId="164" fontId="9" fillId="3" borderId="19" xfId="2" applyFont="1" applyFill="1" applyBorder="1" applyProtection="1">
      <protection locked="0"/>
    </xf>
    <xf numFmtId="164" fontId="9" fillId="3" borderId="16" xfId="2" applyFont="1" applyFill="1" applyBorder="1" applyProtection="1">
      <protection locked="0"/>
    </xf>
    <xf numFmtId="164" fontId="9" fillId="3" borderId="15" xfId="2" applyFont="1" applyFill="1" applyBorder="1" applyAlignment="1" applyProtection="1">
      <protection locked="0"/>
    </xf>
    <xf numFmtId="164" fontId="9" fillId="3" borderId="10" xfId="2" applyFont="1" applyFill="1" applyBorder="1" applyAlignment="1" applyProtection="1">
      <protection locked="0"/>
    </xf>
    <xf numFmtId="164" fontId="9" fillId="0" borderId="7" xfId="0" applyNumberFormat="1" applyFont="1" applyBorder="1" applyAlignment="1" applyProtection="1">
      <alignment vertical="center"/>
      <protection locked="0"/>
    </xf>
    <xf numFmtId="176" fontId="0" fillId="0" borderId="0" xfId="0" applyNumberFormat="1"/>
    <xf numFmtId="0" fontId="21" fillId="0" borderId="0" xfId="0" applyFont="1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176" fontId="0" fillId="0" borderId="0" xfId="4" applyFont="1" applyFill="1" applyAlignment="1">
      <alignment wrapText="1"/>
    </xf>
    <xf numFmtId="0" fontId="21" fillId="0" borderId="0" xfId="0" applyFont="1" applyAlignment="1">
      <alignment vertical="center" wrapText="1"/>
    </xf>
    <xf numFmtId="2" fontId="21" fillId="0" borderId="0" xfId="0" applyNumberFormat="1" applyFont="1"/>
    <xf numFmtId="2" fontId="21" fillId="0" borderId="0" xfId="4" applyNumberFormat="1" applyFont="1"/>
    <xf numFmtId="164" fontId="9" fillId="0" borderId="29" xfId="2" quotePrefix="1" applyFont="1" applyBorder="1" applyProtection="1">
      <protection locked="0"/>
    </xf>
    <xf numFmtId="164" fontId="0" fillId="3" borderId="25" xfId="2" applyFont="1" applyFill="1" applyBorder="1" applyProtection="1"/>
    <xf numFmtId="0" fontId="41" fillId="7" borderId="0" xfId="0" applyFont="1" applyFill="1" applyAlignment="1">
      <alignment horizontal="center" vertical="center" wrapText="1"/>
    </xf>
    <xf numFmtId="164" fontId="44" fillId="0" borderId="19" xfId="2" applyFont="1" applyBorder="1"/>
    <xf numFmtId="164" fontId="44" fillId="0" borderId="16" xfId="2" applyFont="1" applyBorder="1"/>
    <xf numFmtId="164" fontId="44" fillId="0" borderId="42" xfId="2" applyFont="1" applyBorder="1"/>
    <xf numFmtId="164" fontId="44" fillId="8" borderId="8" xfId="2" applyFont="1" applyFill="1" applyBorder="1"/>
    <xf numFmtId="164" fontId="44" fillId="8" borderId="0" xfId="2" applyFont="1" applyFill="1" applyBorder="1"/>
    <xf numFmtId="164" fontId="44" fillId="8" borderId="17" xfId="2" applyFont="1" applyFill="1" applyBorder="1"/>
    <xf numFmtId="164" fontId="44" fillId="0" borderId="8" xfId="2" applyFont="1" applyBorder="1"/>
    <xf numFmtId="164" fontId="44" fillId="0" borderId="0" xfId="2" applyFont="1" applyBorder="1"/>
    <xf numFmtId="164" fontId="44" fillId="0" borderId="17" xfId="2" applyFont="1" applyBorder="1"/>
    <xf numFmtId="164" fontId="44" fillId="8" borderId="9" xfId="0" applyNumberFormat="1" applyFont="1" applyFill="1" applyBorder="1"/>
    <xf numFmtId="164" fontId="44" fillId="8" borderId="12" xfId="0" applyNumberFormat="1" applyFont="1" applyFill="1" applyBorder="1"/>
    <xf numFmtId="164" fontId="44" fillId="8" borderId="18" xfId="0" applyNumberFormat="1" applyFont="1" applyFill="1" applyBorder="1"/>
    <xf numFmtId="164" fontId="6" fillId="0" borderId="19" xfId="2" applyFont="1" applyBorder="1"/>
    <xf numFmtId="164" fontId="6" fillId="0" borderId="16" xfId="2" applyFont="1" applyBorder="1"/>
    <xf numFmtId="0" fontId="6" fillId="8" borderId="0" xfId="0" applyFont="1" applyFill="1" applyBorder="1" applyAlignment="1">
      <alignment horizontal="right"/>
    </xf>
    <xf numFmtId="164" fontId="6" fillId="8" borderId="8" xfId="2" applyFont="1" applyFill="1" applyBorder="1"/>
    <xf numFmtId="164" fontId="6" fillId="8" borderId="0" xfId="2" applyFont="1" applyFill="1" applyBorder="1"/>
    <xf numFmtId="164" fontId="6" fillId="8" borderId="17" xfId="2" applyFont="1" applyFill="1" applyBorder="1"/>
    <xf numFmtId="0" fontId="6" fillId="0" borderId="0" xfId="0" applyFont="1" applyBorder="1" applyAlignment="1">
      <alignment horizontal="right"/>
    </xf>
    <xf numFmtId="164" fontId="6" fillId="0" borderId="17" xfId="2" applyFont="1" applyBorder="1"/>
    <xf numFmtId="0" fontId="35" fillId="7" borderId="15" xfId="0" applyFont="1" applyFill="1" applyBorder="1"/>
    <xf numFmtId="0" fontId="35" fillId="7" borderId="16" xfId="0" applyFont="1" applyFill="1" applyBorder="1"/>
    <xf numFmtId="0" fontId="35" fillId="7" borderId="42" xfId="0" applyFont="1" applyFill="1" applyBorder="1"/>
    <xf numFmtId="0" fontId="6" fillId="0" borderId="10" xfId="0" applyFont="1" applyBorder="1" applyAlignment="1">
      <alignment horizontal="right"/>
    </xf>
    <xf numFmtId="164" fontId="6" fillId="0" borderId="0" xfId="2" applyFont="1"/>
    <xf numFmtId="0" fontId="6" fillId="8" borderId="0" xfId="0" applyFont="1" applyFill="1" applyBorder="1"/>
    <xf numFmtId="0" fontId="35" fillId="7" borderId="16" xfId="0" applyFont="1" applyFill="1" applyBorder="1" applyAlignment="1"/>
    <xf numFmtId="0" fontId="6" fillId="8" borderId="15" xfId="0" applyFont="1" applyFill="1" applyBorder="1"/>
    <xf numFmtId="0" fontId="6" fillId="8" borderId="42" xfId="0" applyFont="1" applyFill="1" applyBorder="1" applyAlignment="1">
      <alignment horizontal="right"/>
    </xf>
    <xf numFmtId="164" fontId="6" fillId="8" borderId="19" xfId="2" applyFont="1" applyFill="1" applyBorder="1"/>
    <xf numFmtId="0" fontId="6" fillId="8" borderId="16" xfId="0" applyFont="1" applyFill="1" applyBorder="1" applyAlignment="1">
      <alignment horizontal="left"/>
    </xf>
    <xf numFmtId="0" fontId="6" fillId="8" borderId="42" xfId="0" applyFont="1" applyFill="1" applyBorder="1"/>
    <xf numFmtId="0" fontId="6" fillId="8" borderId="10" xfId="0" applyFont="1" applyFill="1" applyBorder="1"/>
    <xf numFmtId="0" fontId="6" fillId="8" borderId="17" xfId="0" applyFont="1" applyFill="1" applyBorder="1" applyAlignment="1">
      <alignment horizontal="right"/>
    </xf>
    <xf numFmtId="0" fontId="6" fillId="8" borderId="0" xfId="0" applyFont="1" applyFill="1" applyBorder="1" applyAlignment="1">
      <alignment horizontal="left"/>
    </xf>
    <xf numFmtId="0" fontId="6" fillId="8" borderId="17" xfId="0" applyFont="1" applyFill="1" applyBorder="1"/>
    <xf numFmtId="0" fontId="35" fillId="7" borderId="11" xfId="0" applyFont="1" applyFill="1" applyBorder="1"/>
    <xf numFmtId="0" fontId="35" fillId="7" borderId="18" xfId="0" applyFont="1" applyFill="1" applyBorder="1"/>
    <xf numFmtId="164" fontId="35" fillId="7" borderId="9" xfId="2" applyFont="1" applyFill="1" applyBorder="1" applyAlignment="1">
      <alignment horizontal="center"/>
    </xf>
    <xf numFmtId="0" fontId="35" fillId="7" borderId="12" xfId="0" applyFont="1" applyFill="1" applyBorder="1"/>
    <xf numFmtId="0" fontId="6" fillId="0" borderId="83" xfId="0" applyFont="1" applyBorder="1" applyAlignment="1">
      <alignment horizontal="right"/>
    </xf>
    <xf numFmtId="0" fontId="6" fillId="8" borderId="82" xfId="0" applyFont="1" applyFill="1" applyBorder="1" applyAlignment="1">
      <alignment horizontal="right"/>
    </xf>
    <xf numFmtId="0" fontId="41" fillId="7" borderId="82" xfId="0" applyFont="1" applyFill="1" applyBorder="1" applyAlignment="1">
      <alignment horizontal="center" vertical="center" wrapText="1"/>
    </xf>
    <xf numFmtId="0" fontId="44" fillId="0" borderId="83" xfId="0" applyFont="1" applyBorder="1" applyAlignment="1">
      <alignment horizontal="right"/>
    </xf>
    <xf numFmtId="0" fontId="44" fillId="8" borderId="82" xfId="0" applyFont="1" applyFill="1" applyBorder="1" applyAlignment="1">
      <alignment horizontal="right"/>
    </xf>
    <xf numFmtId="0" fontId="44" fillId="8" borderId="81" xfId="0" applyFont="1" applyFill="1" applyBorder="1" applyAlignment="1">
      <alignment horizontal="right" wrapText="1"/>
    </xf>
    <xf numFmtId="0" fontId="44" fillId="0" borderId="82" xfId="0" applyFont="1" applyBorder="1" applyAlignment="1">
      <alignment horizontal="right" wrapText="1"/>
    </xf>
    <xf numFmtId="0" fontId="6" fillId="8" borderId="10" xfId="0" applyFont="1" applyFill="1" applyBorder="1" applyAlignment="1">
      <alignment horizontal="right" wrapText="1"/>
    </xf>
    <xf numFmtId="0" fontId="6" fillId="0" borderId="84" xfId="0" applyFont="1" applyBorder="1" applyAlignment="1">
      <alignment horizontal="right"/>
    </xf>
    <xf numFmtId="164" fontId="6" fillId="0" borderId="85" xfId="2" applyFont="1" applyBorder="1"/>
    <xf numFmtId="164" fontId="6" fillId="0" borderId="86" xfId="2" applyFont="1" applyBorder="1"/>
    <xf numFmtId="0" fontId="20" fillId="4" borderId="28" xfId="0" applyFont="1" applyFill="1" applyBorder="1"/>
    <xf numFmtId="0" fontId="20" fillId="4" borderId="28" xfId="0" applyFont="1" applyFill="1" applyBorder="1" applyAlignment="1">
      <alignment horizontal="right"/>
    </xf>
    <xf numFmtId="164" fontId="9" fillId="3" borderId="27" xfId="2" applyFont="1" applyFill="1" applyBorder="1" applyProtection="1">
      <protection locked="0"/>
    </xf>
    <xf numFmtId="0" fontId="9" fillId="3" borderId="28" xfId="0" applyFont="1" applyFill="1" applyBorder="1" applyProtection="1">
      <protection locked="0"/>
    </xf>
    <xf numFmtId="0" fontId="0" fillId="3" borderId="87" xfId="0" applyFill="1" applyBorder="1"/>
    <xf numFmtId="0" fontId="20" fillId="4" borderId="88" xfId="0" applyFont="1" applyFill="1" applyBorder="1"/>
    <xf numFmtId="164" fontId="9" fillId="0" borderId="27" xfId="2" applyFont="1" applyBorder="1" applyProtection="1">
      <protection locked="0"/>
    </xf>
    <xf numFmtId="0" fontId="9" fillId="0" borderId="28" xfId="0" applyFont="1" applyBorder="1" applyProtection="1">
      <protection locked="0"/>
    </xf>
    <xf numFmtId="0" fontId="0" fillId="0" borderId="87" xfId="0" applyBorder="1"/>
    <xf numFmtId="177" fontId="9" fillId="0" borderId="1" xfId="2" applyNumberFormat="1" applyFont="1" applyFill="1" applyBorder="1" applyProtection="1">
      <protection locked="0"/>
    </xf>
    <xf numFmtId="177" fontId="9" fillId="0" borderId="2" xfId="2" applyNumberFormat="1" applyFont="1" applyFill="1" applyBorder="1" applyProtection="1">
      <protection locked="0"/>
    </xf>
    <xf numFmtId="164" fontId="9" fillId="3" borderId="10" xfId="2" quotePrefix="1" applyFont="1" applyFill="1" applyBorder="1" applyProtection="1">
      <protection locked="0"/>
    </xf>
    <xf numFmtId="0" fontId="0" fillId="0" borderId="0" xfId="1" applyNumberFormat="1" applyFont="1"/>
    <xf numFmtId="164" fontId="32" fillId="0" borderId="0" xfId="2" applyNumberFormat="1" applyFont="1" applyBorder="1"/>
    <xf numFmtId="164" fontId="0" fillId="0" borderId="6" xfId="0" applyNumberFormat="1" applyBorder="1"/>
    <xf numFmtId="164" fontId="6" fillId="0" borderId="0" xfId="2" applyFont="1" applyBorder="1"/>
    <xf numFmtId="0" fontId="6" fillId="8" borderId="89" xfId="0" applyFont="1" applyFill="1" applyBorder="1" applyAlignment="1">
      <alignment horizontal="right" wrapText="1"/>
    </xf>
    <xf numFmtId="0" fontId="6" fillId="8" borderId="2" xfId="0" applyFont="1" applyFill="1" applyBorder="1"/>
    <xf numFmtId="0" fontId="6" fillId="8" borderId="2" xfId="0" applyFont="1" applyFill="1" applyBorder="1" applyAlignment="1">
      <alignment horizontal="right"/>
    </xf>
    <xf numFmtId="164" fontId="6" fillId="8" borderId="90" xfId="2" applyFont="1" applyFill="1" applyBorder="1"/>
    <xf numFmtId="0" fontId="46" fillId="0" borderId="0" xfId="0" applyFont="1" applyFill="1" applyBorder="1" applyAlignment="1">
      <alignment horizontal="center" vertical="center" wrapText="1"/>
    </xf>
  </cellXfs>
  <cellStyles count="5">
    <cellStyle name="Millares" xfId="2" builtinId="3"/>
    <cellStyle name="Millares 2" xfId="4" xr:uid="{00000000-0005-0000-0000-000001000000}"/>
    <cellStyle name="Normal" xfId="0" builtinId="0"/>
    <cellStyle name="Normal 2" xfId="3" xr:uid="{00000000-0005-0000-0000-000003000000}"/>
    <cellStyle name="Porcentaje" xfId="1" builtinId="5"/>
  </cellStyles>
  <dxfs count="50">
    <dxf>
      <font>
        <color theme="0"/>
      </font>
      <fill>
        <patternFill>
          <bgColor rgb="FF7030A0"/>
        </patternFill>
      </fill>
    </dxf>
    <dxf>
      <font>
        <color theme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 * #,##0.00_ ;_ * \-#,##0.00_ ;_ * &quot;-&quot;??_ ;_ @_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_ * #,##0.00_ ;_ * \-#,##0.00_ ;_ * &quot;-&quot;??_ ;_ @_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6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_ * #,##0.00_ ;_ * \-#,##0.00_ ;_ * &quot;-&quot;??_ ;_ @_ "/>
      <fill>
        <patternFill patternType="solid">
          <fgColor theme="6"/>
          <bgColor theme="6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.000_ ;_ * \-#,##0.00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.000_ ;_ * \-#,##0.00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.000_ ;_ * \-#,##0.00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 * #,##0.000_ ;_ * \-#,##0.000_ ;_ * &quot;-&quot;??_ ;_ @_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 * #,##0.00_ ;_ * \-#,##0.00_ ;_ * &quot;-&quot;??_ ;_ @_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_ * #,##0.000_ ;_ * \-#,##0.00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 * #,##0.000_ ;_ * \-#,##0.00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 * #,##0.00_ ;_ * \-#,##0.00_ ;_ * &quot;-&quot;??_ ;_ @_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71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5"/>
        <name val="Calibri"/>
        <scheme val="minor"/>
      </font>
      <numFmt numFmtId="164" formatCode="_ * #,##0.00_ ;_ * \-#,##0.00_ ;_ * &quot;-&quot;??_ ;_ @_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left style="thin">
          <color theme="6" tint="0.39997558519241921"/>
        </left>
        <top style="thin">
          <color theme="6" tint="0.39997558519241921"/>
        </top>
        <bottom style="thin">
          <color theme="6" tint="0.39997558519241921"/>
        </bottom>
      </border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6"/>
          <bgColor theme="6"/>
        </patternFill>
      </fill>
      <alignment horizontal="center" vertical="center" textRotation="0" wrapText="1" indent="0" justifyLastLine="0" shrinkToFit="0" readingOrder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.00_ ;_ * \-#,##0.0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Arcalinidad Residual (AR)</a:t>
            </a:r>
          </a:p>
        </c:rich>
      </c:tx>
      <c:layout>
        <c:manualLayout>
          <c:xMode val="edge"/>
          <c:yMode val="edge"/>
          <c:x val="0.294664358258504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309843752553608E-2"/>
          <c:y val="0.1083713126163551"/>
          <c:w val="0.888816932835365"/>
          <c:h val="0.77777551076600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Gráfico!$A$31</c:f>
              <c:strCache>
                <c:ptCount val="1"/>
                <c:pt idx="0">
                  <c:v>AR 150</c:v>
                </c:pt>
              </c:strCache>
            </c:strRef>
          </c:tx>
          <c:dPt>
            <c:idx val="0"/>
            <c:marker>
              <c:symbol val="circle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00-9CAD-458F-864B-C8A2BA8D7B6E}"/>
              </c:ext>
            </c:extLst>
          </c:dPt>
          <c:dPt>
            <c:idx val="1"/>
            <c:marker>
              <c:symbol val="circle"/>
              <c:size val="7"/>
            </c:marker>
            <c:bubble3D val="0"/>
            <c:extLst>
              <c:ext xmlns:c16="http://schemas.microsoft.com/office/drawing/2014/chart" uri="{C3380CC4-5D6E-409C-BE32-E72D297353CC}">
                <c16:uniqueId val="{00000001-9CAD-458F-864B-C8A2BA8D7B6E}"/>
              </c:ext>
            </c:extLst>
          </c:dPt>
          <c:xVal>
            <c:numRef>
              <c:f>Gráfico!$C$31:$C$52</c:f>
              <c:numCache>
                <c:formatCode>General</c:formatCode>
                <c:ptCount val="22"/>
                <c:pt idx="0">
                  <c:v>0</c:v>
                </c:pt>
                <c:pt idx="1">
                  <c:v>455</c:v>
                </c:pt>
                <c:pt idx="2">
                  <c:v>0</c:v>
                </c:pt>
                <c:pt idx="3">
                  <c:v>541</c:v>
                </c:pt>
                <c:pt idx="4">
                  <c:v>0</c:v>
                </c:pt>
                <c:pt idx="5">
                  <c:v>631</c:v>
                </c:pt>
                <c:pt idx="6">
                  <c:v>0</c:v>
                </c:pt>
                <c:pt idx="7">
                  <c:v>716</c:v>
                </c:pt>
                <c:pt idx="8">
                  <c:v>0</c:v>
                </c:pt>
                <c:pt idx="9">
                  <c:v>800</c:v>
                </c:pt>
                <c:pt idx="10">
                  <c:v>0</c:v>
                </c:pt>
                <c:pt idx="11">
                  <c:v>800</c:v>
                </c:pt>
                <c:pt idx="12">
                  <c:v>0</c:v>
                </c:pt>
                <c:pt idx="13">
                  <c:v>800</c:v>
                </c:pt>
                <c:pt idx="14">
                  <c:v>88</c:v>
                </c:pt>
                <c:pt idx="15">
                  <c:v>800</c:v>
                </c:pt>
                <c:pt idx="16">
                  <c:v>175</c:v>
                </c:pt>
                <c:pt idx="17">
                  <c:v>800</c:v>
                </c:pt>
                <c:pt idx="18">
                  <c:v>263</c:v>
                </c:pt>
                <c:pt idx="19">
                  <c:v>800</c:v>
                </c:pt>
                <c:pt idx="20">
                  <c:v>350</c:v>
                </c:pt>
                <c:pt idx="21">
                  <c:v>800</c:v>
                </c:pt>
              </c:numCache>
            </c:numRef>
          </c:xVal>
          <c:yVal>
            <c:numRef>
              <c:f>Gráfico!$E$31:$E$32</c:f>
              <c:numCache>
                <c:formatCode>General</c:formatCode>
                <c:ptCount val="2"/>
                <c:pt idx="0">
                  <c:v>150</c:v>
                </c:pt>
                <c:pt idx="1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AD-458F-864B-C8A2BA8D7B6E}"/>
            </c:ext>
          </c:extLst>
        </c:ser>
        <c:ser>
          <c:idx val="1"/>
          <c:order val="1"/>
          <c:tx>
            <c:strRef>
              <c:f>Gráfico!$A$33</c:f>
              <c:strCache>
                <c:ptCount val="1"/>
                <c:pt idx="0">
                  <c:v>AR 125</c:v>
                </c:pt>
              </c:strCache>
            </c:strRef>
          </c:tx>
          <c:marker>
            <c:symbol val="circle"/>
            <c:size val="7"/>
          </c:marker>
          <c:xVal>
            <c:numRef>
              <c:f>Gráfico!$C$33:$C$34</c:f>
              <c:numCache>
                <c:formatCode>General</c:formatCode>
                <c:ptCount val="2"/>
                <c:pt idx="0">
                  <c:v>0</c:v>
                </c:pt>
                <c:pt idx="1">
                  <c:v>541</c:v>
                </c:pt>
              </c:numCache>
            </c:numRef>
          </c:xVal>
          <c:yVal>
            <c:numRef>
              <c:f>Gráfico!$E$33:$E$34</c:f>
              <c:numCache>
                <c:formatCode>General</c:formatCode>
                <c:ptCount val="2"/>
                <c:pt idx="0">
                  <c:v>125</c:v>
                </c:pt>
                <c:pt idx="1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AD-458F-864B-C8A2BA8D7B6E}"/>
            </c:ext>
          </c:extLst>
        </c:ser>
        <c:ser>
          <c:idx val="2"/>
          <c:order val="2"/>
          <c:tx>
            <c:strRef>
              <c:f>Gráfico!$A$35</c:f>
              <c:strCache>
                <c:ptCount val="1"/>
                <c:pt idx="0">
                  <c:v>AR 100</c:v>
                </c:pt>
              </c:strCache>
            </c:strRef>
          </c:tx>
          <c:marker>
            <c:symbol val="circle"/>
            <c:size val="7"/>
          </c:marker>
          <c:xVal>
            <c:numRef>
              <c:f>Gráfico!$C$35:$C$36</c:f>
              <c:numCache>
                <c:formatCode>General</c:formatCode>
                <c:ptCount val="2"/>
                <c:pt idx="0">
                  <c:v>0</c:v>
                </c:pt>
                <c:pt idx="1">
                  <c:v>631</c:v>
                </c:pt>
              </c:numCache>
            </c:numRef>
          </c:xVal>
          <c:yVal>
            <c:numRef>
              <c:f>Gráfico!$E$35:$E$36</c:f>
              <c:numCache>
                <c:formatCode>General</c:formatCode>
                <c:ptCount val="2"/>
                <c:pt idx="0">
                  <c:v>100</c:v>
                </c:pt>
                <c:pt idx="1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AD-458F-864B-C8A2BA8D7B6E}"/>
            </c:ext>
          </c:extLst>
        </c:ser>
        <c:ser>
          <c:idx val="3"/>
          <c:order val="3"/>
          <c:tx>
            <c:strRef>
              <c:f>Gráfico!$A$37</c:f>
              <c:strCache>
                <c:ptCount val="1"/>
                <c:pt idx="0">
                  <c:v>AR 75</c:v>
                </c:pt>
              </c:strCache>
            </c:strRef>
          </c:tx>
          <c:marker>
            <c:symbol val="circle"/>
            <c:size val="7"/>
          </c:marker>
          <c:xVal>
            <c:numRef>
              <c:f>Gráfico!$C$37:$C$38</c:f>
              <c:numCache>
                <c:formatCode>General</c:formatCode>
                <c:ptCount val="2"/>
                <c:pt idx="0">
                  <c:v>0</c:v>
                </c:pt>
                <c:pt idx="1">
                  <c:v>716</c:v>
                </c:pt>
              </c:numCache>
            </c:numRef>
          </c:xVal>
          <c:yVal>
            <c:numRef>
              <c:f>Gráfico!$E$37:$E$38</c:f>
              <c:numCache>
                <c:formatCode>General</c:formatCode>
                <c:ptCount val="2"/>
                <c:pt idx="0">
                  <c:v>75</c:v>
                </c:pt>
                <c:pt idx="1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AD-458F-864B-C8A2BA8D7B6E}"/>
            </c:ext>
          </c:extLst>
        </c:ser>
        <c:ser>
          <c:idx val="4"/>
          <c:order val="4"/>
          <c:tx>
            <c:strRef>
              <c:f>Gráfico!$A$39</c:f>
              <c:strCache>
                <c:ptCount val="1"/>
                <c:pt idx="0">
                  <c:v>AR 50</c:v>
                </c:pt>
              </c:strCache>
            </c:strRef>
          </c:tx>
          <c:marker>
            <c:symbol val="circle"/>
            <c:size val="7"/>
          </c:marker>
          <c:xVal>
            <c:numRef>
              <c:f>Gráfico!$C$39:$C$40</c:f>
              <c:numCache>
                <c:formatCode>General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xVal>
          <c:yVal>
            <c:numRef>
              <c:f>Gráfico!$E$39:$E$40</c:f>
              <c:numCache>
                <c:formatCode>General</c:formatCode>
                <c:ptCount val="2"/>
                <c:pt idx="0">
                  <c:v>50</c:v>
                </c:pt>
                <c:pt idx="1">
                  <c:v>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AD-458F-864B-C8A2BA8D7B6E}"/>
            </c:ext>
          </c:extLst>
        </c:ser>
        <c:ser>
          <c:idx val="5"/>
          <c:order val="5"/>
          <c:tx>
            <c:strRef>
              <c:f>Gráfico!$A$41</c:f>
              <c:strCache>
                <c:ptCount val="1"/>
                <c:pt idx="0">
                  <c:v>AR 25</c:v>
                </c:pt>
              </c:strCache>
            </c:strRef>
          </c:tx>
          <c:xVal>
            <c:numRef>
              <c:f>Gráfico!$C$41:$C$42</c:f>
              <c:numCache>
                <c:formatCode>General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xVal>
          <c:yVal>
            <c:numRef>
              <c:f>Gráfico!$E$41:$E$42</c:f>
              <c:numCache>
                <c:formatCode>General</c:formatCode>
                <c:ptCount val="2"/>
                <c:pt idx="0">
                  <c:v>25</c:v>
                </c:pt>
                <c:pt idx="1">
                  <c:v>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AD-458F-864B-C8A2BA8D7B6E}"/>
            </c:ext>
          </c:extLst>
        </c:ser>
        <c:ser>
          <c:idx val="6"/>
          <c:order val="6"/>
          <c:tx>
            <c:strRef>
              <c:f>Gráfico!$A$43</c:f>
              <c:strCache>
                <c:ptCount val="1"/>
                <c:pt idx="0">
                  <c:v>AR 0</c:v>
                </c:pt>
              </c:strCache>
            </c:strRef>
          </c:tx>
          <c:marker>
            <c:symbol val="circle"/>
            <c:size val="7"/>
          </c:marker>
          <c:xVal>
            <c:numRef>
              <c:f>Gráfico!$C$43:$C$44</c:f>
              <c:numCache>
                <c:formatCode>General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xVal>
          <c:yVal>
            <c:numRef>
              <c:f>Gráfico!$E$43:$E$44</c:f>
              <c:numCache>
                <c:formatCode>General</c:formatCode>
                <c:ptCount val="2"/>
                <c:pt idx="0">
                  <c:v>0</c:v>
                </c:pt>
                <c:pt idx="1">
                  <c:v>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AD-458F-864B-C8A2BA8D7B6E}"/>
            </c:ext>
          </c:extLst>
        </c:ser>
        <c:ser>
          <c:idx val="7"/>
          <c:order val="7"/>
          <c:tx>
            <c:strRef>
              <c:f>Gráfico!$A$45</c:f>
              <c:strCache>
                <c:ptCount val="1"/>
                <c:pt idx="0">
                  <c:v>AR -25</c:v>
                </c:pt>
              </c:strCache>
            </c:strRef>
          </c:tx>
          <c:marker>
            <c:symbol val="circle"/>
            <c:size val="7"/>
          </c:marker>
          <c:xVal>
            <c:numRef>
              <c:f>Gráfico!$C$45:$C$46</c:f>
              <c:numCache>
                <c:formatCode>General</c:formatCode>
                <c:ptCount val="2"/>
                <c:pt idx="0">
                  <c:v>88</c:v>
                </c:pt>
                <c:pt idx="1">
                  <c:v>800</c:v>
                </c:pt>
              </c:numCache>
            </c:numRef>
          </c:xVal>
          <c:yVal>
            <c:numRef>
              <c:f>Gráfico!$E$45:$E$46</c:f>
              <c:numCache>
                <c:formatCode>General</c:formatCode>
                <c:ptCount val="2"/>
                <c:pt idx="0">
                  <c:v>0</c:v>
                </c:pt>
                <c:pt idx="1">
                  <c:v>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AD-458F-864B-C8A2BA8D7B6E}"/>
            </c:ext>
          </c:extLst>
        </c:ser>
        <c:ser>
          <c:idx val="8"/>
          <c:order val="8"/>
          <c:tx>
            <c:strRef>
              <c:f>Gráfico!$A$47</c:f>
              <c:strCache>
                <c:ptCount val="1"/>
                <c:pt idx="0">
                  <c:v>AR -50</c:v>
                </c:pt>
              </c:strCache>
            </c:strRef>
          </c:tx>
          <c:marker>
            <c:symbol val="circle"/>
            <c:size val="7"/>
          </c:marker>
          <c:xVal>
            <c:numRef>
              <c:f>Gráfico!$C$47:$C$48</c:f>
              <c:numCache>
                <c:formatCode>General</c:formatCode>
                <c:ptCount val="2"/>
                <c:pt idx="0">
                  <c:v>175</c:v>
                </c:pt>
                <c:pt idx="1">
                  <c:v>800</c:v>
                </c:pt>
              </c:numCache>
            </c:numRef>
          </c:xVal>
          <c:yVal>
            <c:numRef>
              <c:f>Gráfico!$E$47:$E$48</c:f>
              <c:numCache>
                <c:formatCode>General</c:formatCode>
                <c:ptCount val="2"/>
                <c:pt idx="0">
                  <c:v>0</c:v>
                </c:pt>
                <c:pt idx="1">
                  <c:v>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AD-458F-864B-C8A2BA8D7B6E}"/>
            </c:ext>
          </c:extLst>
        </c:ser>
        <c:ser>
          <c:idx val="9"/>
          <c:order val="9"/>
          <c:tx>
            <c:strRef>
              <c:f>Gráfico!$A$49</c:f>
              <c:strCache>
                <c:ptCount val="1"/>
                <c:pt idx="0">
                  <c:v>AR -75</c:v>
                </c:pt>
              </c:strCache>
            </c:strRef>
          </c:tx>
          <c:marker>
            <c:symbol val="circle"/>
            <c:size val="7"/>
          </c:marker>
          <c:xVal>
            <c:numRef>
              <c:f>Gráfico!$C$49:$C$50</c:f>
              <c:numCache>
                <c:formatCode>General</c:formatCode>
                <c:ptCount val="2"/>
                <c:pt idx="0">
                  <c:v>263</c:v>
                </c:pt>
                <c:pt idx="1">
                  <c:v>800</c:v>
                </c:pt>
              </c:numCache>
            </c:numRef>
          </c:xVal>
          <c:yVal>
            <c:numRef>
              <c:f>Gráfico!$E$49:$E$50</c:f>
              <c:numCache>
                <c:formatCode>General</c:formatCode>
                <c:ptCount val="2"/>
                <c:pt idx="0">
                  <c:v>0</c:v>
                </c:pt>
                <c:pt idx="1">
                  <c:v>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AD-458F-864B-C8A2BA8D7B6E}"/>
            </c:ext>
          </c:extLst>
        </c:ser>
        <c:ser>
          <c:idx val="10"/>
          <c:order val="10"/>
          <c:tx>
            <c:strRef>
              <c:f>Gráfico!$A$51</c:f>
              <c:strCache>
                <c:ptCount val="1"/>
                <c:pt idx="0">
                  <c:v>AR -100</c:v>
                </c:pt>
              </c:strCache>
            </c:strRef>
          </c:tx>
          <c:marker>
            <c:symbol val="circle"/>
            <c:size val="7"/>
          </c:marker>
          <c:xVal>
            <c:numRef>
              <c:f>Gráfico!$C$51:$C$52</c:f>
              <c:numCache>
                <c:formatCode>General</c:formatCode>
                <c:ptCount val="2"/>
                <c:pt idx="0">
                  <c:v>350</c:v>
                </c:pt>
                <c:pt idx="1">
                  <c:v>800</c:v>
                </c:pt>
              </c:numCache>
            </c:numRef>
          </c:xVal>
          <c:yVal>
            <c:numRef>
              <c:f>Gráfico!$E$51:$E$52</c:f>
              <c:numCache>
                <c:formatCode>General</c:formatCode>
                <c:ptCount val="2"/>
                <c:pt idx="0">
                  <c:v>0</c:v>
                </c:pt>
                <c:pt idx="1">
                  <c:v>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AD-458F-864B-C8A2BA8D7B6E}"/>
            </c:ext>
          </c:extLst>
        </c:ser>
        <c:ser>
          <c:idx val="11"/>
          <c:order val="11"/>
          <c:tx>
            <c:strRef>
              <c:f>Gráfico!$G$31</c:f>
              <c:strCache>
                <c:ptCount val="1"/>
                <c:pt idx="0">
                  <c:v>Burton</c:v>
                </c:pt>
              </c:strCache>
            </c:strRef>
          </c:tx>
          <c:dPt>
            <c:idx val="0"/>
            <c:marker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9CAD-458F-864B-C8A2BA8D7B6E}"/>
              </c:ext>
            </c:extLst>
          </c:dPt>
          <c:xVal>
            <c:numRef>
              <c:f>Gráfico!$K$31</c:f>
              <c:numCache>
                <c:formatCode>0.00</c:formatCode>
                <c:ptCount val="1"/>
                <c:pt idx="0">
                  <c:v>769.80452674897117</c:v>
                </c:pt>
              </c:numCache>
            </c:numRef>
          </c:xVal>
          <c:yVal>
            <c:numRef>
              <c:f>Gráfico!$L$31</c:f>
              <c:numCache>
                <c:formatCode>0.00</c:formatCode>
                <c:ptCount val="1"/>
                <c:pt idx="0">
                  <c:v>223.38177849422203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AD-458F-864B-C8A2BA8D7B6E}"/>
            </c:ext>
          </c:extLst>
        </c:ser>
        <c:ser>
          <c:idx val="12"/>
          <c:order val="12"/>
          <c:tx>
            <c:strRef>
              <c:f>Gráfico!$G$32</c:f>
              <c:strCache>
                <c:ptCount val="1"/>
                <c:pt idx="0">
                  <c:v>Dortmund</c:v>
                </c:pt>
              </c:strCache>
            </c:strRef>
          </c:tx>
          <c:marker>
            <c:symbol val="triangle"/>
            <c:size val="7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9CAD-458F-864B-C8A2BA8D7B6E}"/>
              </c:ext>
            </c:extLst>
          </c:dPt>
          <c:xVal>
            <c:numRef>
              <c:f>Gráfico!$K$32</c:f>
              <c:numCache>
                <c:formatCode>0.00</c:formatCode>
                <c:ptCount val="1"/>
                <c:pt idx="0">
                  <c:v>605.8641975308642</c:v>
                </c:pt>
              </c:numCache>
            </c:numRef>
          </c:xVal>
          <c:yVal>
            <c:numRef>
              <c:f>Gráfico!$L$32</c:f>
              <c:numCache>
                <c:formatCode>0.00</c:formatCode>
                <c:ptCount val="1"/>
                <c:pt idx="0">
                  <c:v>194.42488128200804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AD-458F-864B-C8A2BA8D7B6E}"/>
            </c:ext>
          </c:extLst>
        </c:ser>
        <c:ser>
          <c:idx val="13"/>
          <c:order val="13"/>
          <c:tx>
            <c:strRef>
              <c:f>Gráfico!$G$33</c:f>
              <c:strCache>
                <c:ptCount val="1"/>
                <c:pt idx="0">
                  <c:v>Dublin</c:v>
                </c:pt>
              </c:strCache>
            </c:strRef>
          </c:tx>
          <c:marker>
            <c:symbol val="triangl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Gráfico!$K$33</c:f>
              <c:numCache>
                <c:formatCode>0.00</c:formatCode>
                <c:ptCount val="1"/>
                <c:pt idx="0">
                  <c:v>308.23045267489715</c:v>
                </c:pt>
              </c:numCache>
            </c:numRef>
          </c:xVal>
          <c:yVal>
            <c:numRef>
              <c:f>Gráfico!$L$33</c:f>
              <c:numCache>
                <c:formatCode>0.00</c:formatCode>
                <c:ptCount val="1"/>
                <c:pt idx="0">
                  <c:v>260.6120749099257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AD-458F-864B-C8A2BA8D7B6E}"/>
            </c:ext>
          </c:extLst>
        </c:ser>
        <c:ser>
          <c:idx val="14"/>
          <c:order val="14"/>
          <c:tx>
            <c:strRef>
              <c:f>Gráfico!$G$34</c:f>
              <c:strCache>
                <c:ptCount val="1"/>
                <c:pt idx="0">
                  <c:v>Edinburgh</c:v>
                </c:pt>
              </c:strCache>
            </c:strRef>
          </c:tx>
          <c:marker>
            <c:symbol val="triangl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Gráfico!$K$34</c:f>
              <c:numCache>
                <c:formatCode>0.00</c:formatCode>
                <c:ptCount val="1"/>
                <c:pt idx="0">
                  <c:v>291.15226337448559</c:v>
                </c:pt>
              </c:numCache>
            </c:numRef>
          </c:xVal>
          <c:yVal>
            <c:numRef>
              <c:f>Gráfico!$L$34</c:f>
              <c:numCache>
                <c:formatCode>0.00</c:formatCode>
                <c:ptCount val="1"/>
                <c:pt idx="0">
                  <c:v>235.79187729945659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AD-458F-864B-C8A2BA8D7B6E}"/>
            </c:ext>
          </c:extLst>
        </c:ser>
        <c:ser>
          <c:idx val="15"/>
          <c:order val="15"/>
          <c:tx>
            <c:strRef>
              <c:f>Gráfico!$G$35</c:f>
              <c:strCache>
                <c:ptCount val="1"/>
                <c:pt idx="0">
                  <c:v>Londres</c:v>
                </c:pt>
              </c:strCache>
            </c:strRef>
          </c:tx>
          <c:marker>
            <c:symbol val="triangl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Gráfico!$K$35</c:f>
              <c:numCache>
                <c:formatCode>0.00</c:formatCode>
                <c:ptCount val="1"/>
                <c:pt idx="0">
                  <c:v>187.3456790123457</c:v>
                </c:pt>
              </c:numCache>
            </c:numRef>
          </c:xVal>
          <c:yVal>
            <c:numRef>
              <c:f>Gráfico!$L$35</c:f>
              <c:numCache>
                <c:formatCode>0.00</c:formatCode>
                <c:ptCount val="1"/>
                <c:pt idx="0">
                  <c:v>137.33842677792907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AD-458F-864B-C8A2BA8D7B6E}"/>
            </c:ext>
          </c:extLst>
        </c:ser>
        <c:ser>
          <c:idx val="16"/>
          <c:order val="16"/>
          <c:tx>
            <c:strRef>
              <c:f>Gráfico!$G$36</c:f>
              <c:strCache>
                <c:ptCount val="1"/>
                <c:pt idx="0">
                  <c:v>Munich</c:v>
                </c:pt>
              </c:strCache>
            </c:strRef>
          </c:tx>
          <c:marker>
            <c:symbol val="triangl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Gráfico!$K$36</c:f>
              <c:numCache>
                <c:formatCode>0.00</c:formatCode>
                <c:ptCount val="1"/>
                <c:pt idx="0">
                  <c:v>227.47942386831275</c:v>
                </c:pt>
              </c:numCache>
            </c:numRef>
          </c:xVal>
          <c:yVal>
            <c:numRef>
              <c:f>Gráfico!$L$36</c:f>
              <c:numCache>
                <c:formatCode>0.00</c:formatCode>
                <c:ptCount val="1"/>
                <c:pt idx="0">
                  <c:v>244.06527650294626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AD-458F-864B-C8A2BA8D7B6E}"/>
            </c:ext>
          </c:extLst>
        </c:ser>
        <c:ser>
          <c:idx val="17"/>
          <c:order val="17"/>
          <c:tx>
            <c:strRef>
              <c:f>Gráfico!$G$37</c:f>
              <c:strCache>
                <c:ptCount val="1"/>
                <c:pt idx="0">
                  <c:v>Pilsen</c:v>
                </c:pt>
              </c:strCache>
            </c:strRef>
          </c:tx>
          <c:marker>
            <c:symbol val="triangl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Gráfico!$K$37</c:f>
              <c:numCache>
                <c:formatCode>0.00</c:formatCode>
                <c:ptCount val="1"/>
                <c:pt idx="0">
                  <c:v>21.615226337448558</c:v>
                </c:pt>
              </c:numCache>
            </c:numRef>
          </c:xVal>
          <c:yVal>
            <c:numRef>
              <c:f>Gráfico!$L$37</c:f>
              <c:numCache>
                <c:formatCode>0.00</c:formatCode>
                <c:ptCount val="1"/>
                <c:pt idx="0">
                  <c:v>13.237438725583527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AD-458F-864B-C8A2BA8D7B6E}"/>
            </c:ext>
          </c:extLst>
        </c:ser>
        <c:ser>
          <c:idx val="18"/>
          <c:order val="18"/>
          <c:tx>
            <c:strRef>
              <c:f>Gráfico!$G$38</c:f>
              <c:strCache>
                <c:ptCount val="1"/>
                <c:pt idx="0">
                  <c:v>Vienna</c:v>
                </c:pt>
              </c:strCache>
            </c:strRef>
          </c:tx>
          <c:marker>
            <c:symbol val="triangle"/>
            <c:size val="7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dPt>
            <c:idx val="0"/>
            <c:marker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chemeClr val="accent2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9CAD-458F-864B-C8A2BA8D7B6E}"/>
              </c:ext>
            </c:extLst>
          </c:dPt>
          <c:xVal>
            <c:numRef>
              <c:f>Gráfico!$K$38</c:f>
              <c:numCache>
                <c:formatCode>0.00</c:formatCode>
                <c:ptCount val="1"/>
                <c:pt idx="0">
                  <c:v>218.3641975308642</c:v>
                </c:pt>
              </c:numCache>
            </c:numRef>
          </c:xVal>
          <c:yVal>
            <c:numRef>
              <c:f>Gráfico!$L$38</c:f>
              <c:numCache>
                <c:formatCode>0.00</c:formatCode>
                <c:ptCount val="1"/>
                <c:pt idx="0">
                  <c:v>186.15148207851834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AD-458F-864B-C8A2BA8D7B6E}"/>
            </c:ext>
          </c:extLst>
        </c:ser>
        <c:ser>
          <c:idx val="19"/>
          <c:order val="19"/>
          <c:tx>
            <c:strRef>
              <c:f>Gráfico!$G$39</c:f>
              <c:strCache>
                <c:ptCount val="1"/>
                <c:pt idx="0">
                  <c:v>Dusseldorf</c:v>
                </c:pt>
              </c:strCache>
            </c:strRef>
          </c:tx>
          <c:marker>
            <c:symbol val="triangle"/>
            <c:size val="7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xVal>
            <c:numRef>
              <c:f>Gráfico!$K$39</c:f>
              <c:numCache>
                <c:formatCode>0.00</c:formatCode>
                <c:ptCount val="1"/>
                <c:pt idx="0">
                  <c:v>130.8641975308642</c:v>
                </c:pt>
              </c:numCache>
            </c:numRef>
          </c:xVal>
          <c:yVal>
            <c:numRef>
              <c:f>Gráfico!$L$39</c:f>
              <c:numCache>
                <c:formatCode>0.00</c:formatCode>
                <c:ptCount val="1"/>
                <c:pt idx="0">
                  <c:v>67.014533548266598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AD-458F-864B-C8A2BA8D7B6E}"/>
            </c:ext>
          </c:extLst>
        </c:ser>
        <c:ser>
          <c:idx val="21"/>
          <c:order val="21"/>
          <c:tx>
            <c:strRef>
              <c:f>Gráfico!$G$40</c:f>
              <c:strCache>
                <c:ptCount val="1"/>
                <c:pt idx="0">
                  <c:v>Agua de Origen</c:v>
                </c:pt>
              </c:strCache>
            </c:strRef>
          </c:tx>
          <c:dPt>
            <c:idx val="0"/>
            <c:marker>
              <c:symbol val="circle"/>
              <c:size val="12"/>
              <c:spPr>
                <a:solidFill>
                  <a:schemeClr val="accent3">
                    <a:lumMod val="75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9CAD-458F-864B-C8A2BA8D7B6E}"/>
              </c:ext>
            </c:extLst>
          </c:dPt>
          <c:xVal>
            <c:numRef>
              <c:f>Gráfico!$K$40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Gráfico!$L$40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AD-458F-864B-C8A2BA8D7B6E}"/>
            </c:ext>
          </c:extLst>
        </c:ser>
        <c:ser>
          <c:idx val="22"/>
          <c:order val="22"/>
          <c:tx>
            <c:strRef>
              <c:f>Gráfico!$G$41</c:f>
              <c:strCache>
                <c:ptCount val="1"/>
                <c:pt idx="0">
                  <c:v>Agua Modificada</c:v>
                </c:pt>
              </c:strCache>
            </c:strRef>
          </c:tx>
          <c:dPt>
            <c:idx val="0"/>
            <c:marker>
              <c:symbol val="circle"/>
              <c:size val="13"/>
              <c:spPr>
                <a:solidFill>
                  <a:schemeClr val="accent6">
                    <a:lumMod val="75000"/>
                  </a:schemeClr>
                </a:solidFill>
                <a:ln>
                  <a:solidFill>
                    <a:schemeClr val="accent6">
                      <a:lumMod val="50000"/>
                    </a:scheme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9CAD-458F-864B-C8A2BA8D7B6E}"/>
              </c:ext>
            </c:extLst>
          </c:dPt>
          <c:xVal>
            <c:numRef>
              <c:f>Gráfico!$K$41</c:f>
              <c:numCache>
                <c:formatCode>0.00</c:formatCode>
                <c:ptCount val="1"/>
                <c:pt idx="0">
                  <c:v>0</c:v>
                </c:pt>
              </c:numCache>
            </c:numRef>
          </c:xVal>
          <c:yVal>
            <c:numRef>
              <c:f>Gráfico!$L$41</c:f>
              <c:numCache>
                <c:formatCode>_ * #,##0.00_ ;_ * \-#,##0.00_ ;_ * "-"??_ ;_ @_ 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AD-458F-864B-C8A2BA8D7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58762000"/>
        <c:axId val="-758768528"/>
        <c:extLst>
          <c:ext xmlns:c15="http://schemas.microsoft.com/office/drawing/2012/chart" uri="{02D57815-91ED-43cb-92C2-25804820EDAC}">
            <c15:filteredScatterSeries>
              <c15:ser>
                <c:idx val="20"/>
                <c:order val="20"/>
                <c:tx>
                  <c:strRef>
                    <c:extLst>
                      <c:ext uri="{02D57815-91ED-43cb-92C2-25804820EDAC}">
                        <c15:formulaRef>
                          <c15:sqref>Gráfico!$I$19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marker>
                  <c:symbol val="circle"/>
                  <c:size val="10"/>
                  <c:spPr>
                    <a:solidFill>
                      <a:schemeClr val="accent6"/>
                    </a:solidFill>
                    <a:ln>
                      <a:solidFill>
                        <a:schemeClr val="accent6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Gráfico!$M$20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Gráfico!$N$20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9-9CAD-458F-864B-C8A2BA8D7B6E}"/>
                  </c:ext>
                </c:extLst>
              </c15:ser>
            </c15:filteredScatterSeries>
          </c:ext>
        </c:extLst>
      </c:scatterChart>
      <c:valAx>
        <c:axId val="-758762000"/>
        <c:scaling>
          <c:orientation val="minMax"/>
          <c:max val="8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Dureza efectiva (ppm de CaCO</a:t>
                </a:r>
                <a:r>
                  <a:rPr lang="en-US" baseline="-25000"/>
                  <a:t>3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-758768528"/>
        <c:crosses val="autoZero"/>
        <c:crossBetween val="midCat"/>
      </c:valAx>
      <c:valAx>
        <c:axId val="-758768528"/>
        <c:scaling>
          <c:orientation val="minMax"/>
          <c:max val="280"/>
          <c:min val="-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Alcalinidad</a:t>
                </a:r>
                <a:r>
                  <a:rPr lang="es-AR" baseline="0"/>
                  <a:t> (ppm de CaCO</a:t>
                </a:r>
                <a:r>
                  <a:rPr lang="es-AR" baseline="-25000"/>
                  <a:t>3</a:t>
                </a:r>
                <a:r>
                  <a:rPr lang="es-AR" baseline="0"/>
                  <a:t>)</a:t>
                </a:r>
                <a:endParaRPr lang="es-AR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-75876200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4803149606299213" l="0.39370078740157483" r="0.39370078740157483" t="0.74803149606299213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19755</xdr:colOff>
      <xdr:row>3</xdr:row>
      <xdr:rowOff>137583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90860" cy="709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762000</xdr:colOff>
      <xdr:row>3</xdr:row>
      <xdr:rowOff>2497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4525" cy="573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57149</xdr:colOff>
      <xdr:row>11</xdr:row>
      <xdr:rowOff>57150</xdr:rowOff>
    </xdr:from>
    <xdr:ext cx="691105" cy="270986"/>
    <xdr:sp macro="" textlink="">
      <xdr:nvSpPr>
        <xdr:cNvPr id="2" name="1 Llamada rectangular redondead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4857749" y="2152650"/>
          <a:ext cx="691105" cy="270986"/>
        </a:xfrm>
        <a:prstGeom prst="wedgeRoundRectCallout">
          <a:avLst>
            <a:gd name="adj1" fmla="val -49293"/>
            <a:gd name="adj2" fmla="val -100516"/>
            <a:gd name="adj3" fmla="val 16667"/>
          </a:avLst>
        </a:prstGeom>
        <a:solidFill>
          <a:schemeClr val="bg1">
            <a:alpha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lang="es-AR" sz="1100">
              <a:solidFill>
                <a:sysClr val="windowText" lastClr="000000"/>
              </a:solidFill>
            </a:rPr>
            <a:t>Dortmund</a:t>
          </a:r>
        </a:p>
      </xdr:txBody>
    </xdr:sp>
    <xdr:clientData/>
  </xdr:oneCellAnchor>
  <xdr:twoCellAnchor>
    <xdr:from>
      <xdr:col>1</xdr:col>
      <xdr:colOff>17991</xdr:colOff>
      <xdr:row>3</xdr:row>
      <xdr:rowOff>155574</xdr:rowOff>
    </xdr:from>
    <xdr:to>
      <xdr:col>7</xdr:col>
      <xdr:colOff>713317</xdr:colOff>
      <xdr:row>25</xdr:row>
      <xdr:rowOff>84667</xdr:rowOff>
    </xdr:to>
    <xdr:grpSp>
      <xdr:nvGrpSpPr>
        <xdr:cNvPr id="30" name="Grupo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GrpSpPr/>
      </xdr:nvGrpSpPr>
      <xdr:grpSpPr>
        <a:xfrm>
          <a:off x="832908" y="727074"/>
          <a:ext cx="6209242" cy="4120093"/>
          <a:chOff x="832908" y="727074"/>
          <a:chExt cx="6209242" cy="4120093"/>
        </a:xfrm>
      </xdr:grpSpPr>
      <xdr:graphicFrame macro="">
        <xdr:nvGraphicFramePr>
          <xdr:cNvPr id="3" name="2 Gráfico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GraphicFramePr>
            <a:graphicFrameLocks/>
          </xdr:cNvGraphicFramePr>
        </xdr:nvGraphicFramePr>
        <xdr:xfrm>
          <a:off x="832908" y="727074"/>
          <a:ext cx="6209242" cy="41200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24 Grupo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GrpSpPr/>
        </xdr:nvGrpSpPr>
        <xdr:grpSpPr>
          <a:xfrm>
            <a:off x="1633527" y="1143000"/>
            <a:ext cx="5025295" cy="2447837"/>
            <a:chOff x="1535223" y="1143000"/>
            <a:chExt cx="4726846" cy="2447837"/>
          </a:xfrm>
        </xdr:grpSpPr>
        <xdr:sp macro="" textlink="">
          <xdr:nvSpPr>
            <xdr:cNvPr id="19" name="17 Llamada rectangular redondeada">
              <a:extLst>
                <a:ext uri="{FF2B5EF4-FFF2-40B4-BE49-F238E27FC236}">
                  <a16:creationId xmlns:a16="http://schemas.microsoft.com/office/drawing/2014/main" id="{00000000-0008-0000-0700-000013000000}"/>
                </a:ext>
              </a:extLst>
            </xdr:cNvPr>
            <xdr:cNvSpPr/>
          </xdr:nvSpPr>
          <xdr:spPr>
            <a:xfrm>
              <a:off x="2551512" y="3371850"/>
              <a:ext cx="283361" cy="218987"/>
            </a:xfrm>
            <a:prstGeom prst="wedgeRoundRectCallout">
              <a:avLst>
                <a:gd name="adj1" fmla="val -118414"/>
                <a:gd name="adj2" fmla="val -156930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AR 0</a:t>
              </a:r>
            </a:p>
          </xdr:txBody>
        </xdr:sp>
        <xdr:sp macro="" textlink="">
          <xdr:nvSpPr>
            <xdr:cNvPr id="5" name="3 Flecha arriba y abajo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SpPr/>
          </xdr:nvSpPr>
          <xdr:spPr>
            <a:xfrm rot="19569734">
              <a:off x="3629976" y="1145910"/>
              <a:ext cx="836379" cy="2412877"/>
            </a:xfrm>
            <a:prstGeom prst="upDownArrow">
              <a:avLst>
                <a:gd name="adj1" fmla="val 41072"/>
                <a:gd name="adj2" fmla="val 102549"/>
              </a:avLst>
            </a:prstGeom>
            <a:gradFill>
              <a:gsLst>
                <a:gs pos="0">
                  <a:schemeClr val="tx1">
                    <a:alpha val="65000"/>
                  </a:schemeClr>
                </a:gs>
                <a:gs pos="45000">
                  <a:schemeClr val="accent6">
                    <a:lumMod val="75000"/>
                    <a:alpha val="65000"/>
                  </a:schemeClr>
                </a:gs>
                <a:gs pos="90000">
                  <a:srgbClr val="FFFF00">
                    <a:alpha val="65000"/>
                  </a:srgbClr>
                </a:gs>
                <a:gs pos="100000">
                  <a:schemeClr val="bg1">
                    <a:alpha val="65000"/>
                  </a:schemeClr>
                </a:gs>
              </a:gsLst>
              <a:lin ang="540000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AR" sz="1100"/>
            </a:p>
          </xdr:txBody>
        </xdr:sp>
        <xdr:sp macro="" textlink="">
          <xdr:nvSpPr>
            <xdr:cNvPr id="6" name="4 Llamada rectangular redondeada">
              <a:extLst>
                <a:ext uri="{FF2B5EF4-FFF2-40B4-BE49-F238E27FC236}">
                  <a16:creationId xmlns:a16="http://schemas.microsoft.com/office/drawing/2014/main" id="{00000000-0008-0000-0700-000006000000}"/>
                </a:ext>
              </a:extLst>
            </xdr:cNvPr>
            <xdr:cNvSpPr/>
          </xdr:nvSpPr>
          <xdr:spPr>
            <a:xfrm>
              <a:off x="5880542" y="1981200"/>
              <a:ext cx="381527" cy="218987"/>
            </a:xfrm>
            <a:prstGeom prst="wedgeRoundRectCallout">
              <a:avLst>
                <a:gd name="adj1" fmla="val 50324"/>
                <a:gd name="adj2" fmla="val -191246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Burton</a:t>
              </a:r>
            </a:p>
          </xdr:txBody>
        </xdr:sp>
        <xdr:sp macro="" textlink="">
          <xdr:nvSpPr>
            <xdr:cNvPr id="7" name="5 Llamada rectangular redondeada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/>
          </xdr:nvSpPr>
          <xdr:spPr>
            <a:xfrm>
              <a:off x="1984257" y="1295400"/>
              <a:ext cx="407953" cy="218987"/>
            </a:xfrm>
            <a:prstGeom prst="wedgeRoundRectCallout">
              <a:avLst>
                <a:gd name="adj1" fmla="val 133804"/>
                <a:gd name="adj2" fmla="val 15477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Munich</a:t>
              </a:r>
            </a:p>
          </xdr:txBody>
        </xdr:sp>
        <xdr:sp macro="" textlink="">
          <xdr:nvSpPr>
            <xdr:cNvPr id="8" name="6 Llamada rectangular redondeada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SpPr/>
          </xdr:nvSpPr>
          <xdr:spPr>
            <a:xfrm>
              <a:off x="1604834" y="3286125"/>
              <a:ext cx="336345" cy="218987"/>
            </a:xfrm>
            <a:prstGeom prst="wedgeRoundRectCallout">
              <a:avLst>
                <a:gd name="adj1" fmla="val -106749"/>
                <a:gd name="adj2" fmla="val 11962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sp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Pilsen</a:t>
              </a:r>
            </a:p>
          </xdr:txBody>
        </xdr:sp>
        <xdr:sp macro="" textlink="">
          <xdr:nvSpPr>
            <xdr:cNvPr id="9" name="7 Llamada rectangular redondeada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:cNvPr>
            <xdr:cNvSpPr/>
          </xdr:nvSpPr>
          <xdr:spPr>
            <a:xfrm>
              <a:off x="1535223" y="1695450"/>
              <a:ext cx="329424" cy="218987"/>
            </a:xfrm>
            <a:prstGeom prst="wedgeRoundRectCallout">
              <a:avLst>
                <a:gd name="adj1" fmla="val 261448"/>
                <a:gd name="adj2" fmla="val 60818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Viena</a:t>
              </a:r>
            </a:p>
          </xdr:txBody>
        </xdr:sp>
        <xdr:sp macro="" textlink="">
          <xdr:nvSpPr>
            <xdr:cNvPr id="10" name="8 Llamada rectangular redondeada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:cNvPr>
            <xdr:cNvSpPr/>
          </xdr:nvSpPr>
          <xdr:spPr>
            <a:xfrm>
              <a:off x="2339386" y="2724150"/>
              <a:ext cx="539789" cy="218987"/>
            </a:xfrm>
            <a:prstGeom prst="wedgeRoundRectCallout">
              <a:avLst>
                <a:gd name="adj1" fmla="val -81776"/>
                <a:gd name="adj2" fmla="val 57656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Dusseldorf</a:t>
              </a:r>
            </a:p>
          </xdr:txBody>
        </xdr:sp>
        <xdr:sp macro="" textlink="">
          <xdr:nvSpPr>
            <xdr:cNvPr id="11" name="9 Llamada rectangular redondeada">
              <a:extLst>
                <a:ext uri="{FF2B5EF4-FFF2-40B4-BE49-F238E27FC236}">
                  <a16:creationId xmlns:a16="http://schemas.microsoft.com/office/drawing/2014/main" id="{00000000-0008-0000-0700-00000B000000}"/>
                </a:ext>
              </a:extLst>
            </xdr:cNvPr>
            <xdr:cNvSpPr/>
          </xdr:nvSpPr>
          <xdr:spPr>
            <a:xfrm>
              <a:off x="2550704" y="1143000"/>
              <a:ext cx="372524" cy="219075"/>
            </a:xfrm>
            <a:prstGeom prst="wedgeRoundRectCallout">
              <a:avLst>
                <a:gd name="adj1" fmla="val 127275"/>
                <a:gd name="adj2" fmla="val 29537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squar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Dublin</a:t>
              </a:r>
            </a:p>
          </xdr:txBody>
        </xdr:sp>
        <xdr:sp macro="" textlink="">
          <xdr:nvSpPr>
            <xdr:cNvPr id="12" name="10 Llamada rectangular redondeada">
              <a:extLst>
                <a:ext uri="{FF2B5EF4-FFF2-40B4-BE49-F238E27FC236}">
                  <a16:creationId xmlns:a16="http://schemas.microsoft.com/office/drawing/2014/main" id="{00000000-0008-0000-0700-00000C000000}"/>
                </a:ext>
              </a:extLst>
            </xdr:cNvPr>
            <xdr:cNvSpPr/>
          </xdr:nvSpPr>
          <xdr:spPr>
            <a:xfrm>
              <a:off x="2049978" y="1581150"/>
              <a:ext cx="519342" cy="218987"/>
            </a:xfrm>
            <a:prstGeom prst="wedgeRoundRectCallout">
              <a:avLst>
                <a:gd name="adj1" fmla="val 154052"/>
                <a:gd name="adj2" fmla="val -75911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Edinburgh</a:t>
              </a:r>
            </a:p>
          </xdr:txBody>
        </xdr:sp>
        <xdr:sp macro="" textlink="">
          <xdr:nvSpPr>
            <xdr:cNvPr id="13" name="11 Llamada rectangular redondeada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:cNvPr>
            <xdr:cNvSpPr/>
          </xdr:nvSpPr>
          <xdr:spPr>
            <a:xfrm>
              <a:off x="1838110" y="2200275"/>
              <a:ext cx="424355" cy="218987"/>
            </a:xfrm>
            <a:prstGeom prst="wedgeRoundRectCallout">
              <a:avLst>
                <a:gd name="adj1" fmla="val 76909"/>
                <a:gd name="adj2" fmla="val 36567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Londres</a:t>
              </a:r>
            </a:p>
          </xdr:txBody>
        </xdr:sp>
        <xdr:sp macro="" textlink="">
          <xdr:nvSpPr>
            <xdr:cNvPr id="14" name="12 Llamada rectangular redondeada">
              <a:extLst>
                <a:ext uri="{FF2B5EF4-FFF2-40B4-BE49-F238E27FC236}">
                  <a16:creationId xmlns:a16="http://schemas.microsoft.com/office/drawing/2014/main" id="{00000000-0008-0000-0700-00000E000000}"/>
                </a:ext>
              </a:extLst>
            </xdr:cNvPr>
            <xdr:cNvSpPr/>
          </xdr:nvSpPr>
          <xdr:spPr>
            <a:xfrm>
              <a:off x="3507847" y="1171575"/>
              <a:ext cx="384762" cy="218987"/>
            </a:xfrm>
            <a:prstGeom prst="wedgeRoundRectCallout">
              <a:avLst>
                <a:gd name="adj1" fmla="val 131223"/>
                <a:gd name="adj2" fmla="val -70599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AR</a:t>
              </a:r>
              <a:r>
                <a:rPr lang="es-AR" sz="800" baseline="0">
                  <a:solidFill>
                    <a:sysClr val="windowText" lastClr="000000"/>
                  </a:solidFill>
                </a:rPr>
                <a:t> 150</a:t>
              </a:r>
              <a:endParaRPr lang="es-AR" sz="8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15" name="13 Llamada rectangular redondeada">
              <a:extLst>
                <a:ext uri="{FF2B5EF4-FFF2-40B4-BE49-F238E27FC236}">
                  <a16:creationId xmlns:a16="http://schemas.microsoft.com/office/drawing/2014/main" id="{00000000-0008-0000-0700-00000F000000}"/>
                </a:ext>
              </a:extLst>
            </xdr:cNvPr>
            <xdr:cNvSpPr/>
          </xdr:nvSpPr>
          <xdr:spPr>
            <a:xfrm>
              <a:off x="3726925" y="3352800"/>
              <a:ext cx="366535" cy="218987"/>
            </a:xfrm>
            <a:prstGeom prst="wedgeRoundRectCallout">
              <a:avLst>
                <a:gd name="adj1" fmla="val -74708"/>
                <a:gd name="adj2" fmla="val -152275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AR -50</a:t>
              </a:r>
            </a:p>
          </xdr:txBody>
        </xdr:sp>
        <xdr:sp macro="" textlink="">
          <xdr:nvSpPr>
            <xdr:cNvPr id="16" name="14 Llamada rectangular redondeada">
              <a:extLst>
                <a:ext uri="{FF2B5EF4-FFF2-40B4-BE49-F238E27FC236}">
                  <a16:creationId xmlns:a16="http://schemas.microsoft.com/office/drawing/2014/main" id="{00000000-0008-0000-0700-000010000000}"/>
                </a:ext>
              </a:extLst>
            </xdr:cNvPr>
            <xdr:cNvSpPr/>
          </xdr:nvSpPr>
          <xdr:spPr>
            <a:xfrm>
              <a:off x="4924077" y="3314700"/>
              <a:ext cx="366535" cy="218987"/>
            </a:xfrm>
            <a:prstGeom prst="wedgeRoundRectCallout">
              <a:avLst>
                <a:gd name="adj1" fmla="val -98969"/>
                <a:gd name="adj2" fmla="val -228242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AR -75</a:t>
              </a:r>
            </a:p>
          </xdr:txBody>
        </xdr:sp>
        <xdr:sp macro="" textlink="">
          <xdr:nvSpPr>
            <xdr:cNvPr id="17" name="15 Llamada rectangular redondeada">
              <a:extLst>
                <a:ext uri="{FF2B5EF4-FFF2-40B4-BE49-F238E27FC236}">
                  <a16:creationId xmlns:a16="http://schemas.microsoft.com/office/drawing/2014/main" id="{00000000-0008-0000-0700-000011000000}"/>
                </a:ext>
              </a:extLst>
            </xdr:cNvPr>
            <xdr:cNvSpPr/>
          </xdr:nvSpPr>
          <xdr:spPr>
            <a:xfrm>
              <a:off x="5803911" y="2857500"/>
              <a:ext cx="417700" cy="218987"/>
            </a:xfrm>
            <a:prstGeom prst="wedgeRoundRectCallout">
              <a:avLst>
                <a:gd name="adj1" fmla="val 15807"/>
                <a:gd name="adj2" fmla="val -174071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AR -100</a:t>
              </a:r>
            </a:p>
          </xdr:txBody>
        </xdr:sp>
        <xdr:sp macro="" textlink="">
          <xdr:nvSpPr>
            <xdr:cNvPr id="18" name="16 Llamada rectangular redondeada">
              <a:extLst>
                <a:ext uri="{FF2B5EF4-FFF2-40B4-BE49-F238E27FC236}">
                  <a16:creationId xmlns:a16="http://schemas.microsoft.com/office/drawing/2014/main" id="{00000000-0008-0000-0700-000012000000}"/>
                </a:ext>
              </a:extLst>
            </xdr:cNvPr>
            <xdr:cNvSpPr/>
          </xdr:nvSpPr>
          <xdr:spPr>
            <a:xfrm>
              <a:off x="5573418" y="1409700"/>
              <a:ext cx="333293" cy="218987"/>
            </a:xfrm>
            <a:prstGeom prst="wedgeRoundRectCallout">
              <a:avLst>
                <a:gd name="adj1" fmla="val 212711"/>
                <a:gd name="adj2" fmla="val -70478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sp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AR 25</a:t>
              </a:r>
            </a:p>
          </xdr:txBody>
        </xdr:sp>
        <xdr:sp macro="" textlink="">
          <xdr:nvSpPr>
            <xdr:cNvPr id="20" name="18 Llamada rectangular redondeada">
              <a:extLst>
                <a:ext uri="{FF2B5EF4-FFF2-40B4-BE49-F238E27FC236}">
                  <a16:creationId xmlns:a16="http://schemas.microsoft.com/office/drawing/2014/main" id="{00000000-0008-0000-0700-000014000000}"/>
                </a:ext>
              </a:extLst>
            </xdr:cNvPr>
            <xdr:cNvSpPr/>
          </xdr:nvSpPr>
          <xdr:spPr>
            <a:xfrm>
              <a:off x="3070236" y="3333750"/>
              <a:ext cx="366535" cy="218987"/>
            </a:xfrm>
            <a:prstGeom prst="wedgeRoundRectCallout">
              <a:avLst>
                <a:gd name="adj1" fmla="val -49593"/>
                <a:gd name="adj2" fmla="val -164138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sp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AR -25</a:t>
              </a:r>
            </a:p>
          </xdr:txBody>
        </xdr:sp>
        <xdr:sp macro="" textlink="">
          <xdr:nvSpPr>
            <xdr:cNvPr id="21" name="19 Llamada rectangular redondeada">
              <a:extLst>
                <a:ext uri="{FF2B5EF4-FFF2-40B4-BE49-F238E27FC236}">
                  <a16:creationId xmlns:a16="http://schemas.microsoft.com/office/drawing/2014/main" id="{00000000-0008-0000-0700-000015000000}"/>
                </a:ext>
              </a:extLst>
            </xdr:cNvPr>
            <xdr:cNvSpPr/>
          </xdr:nvSpPr>
          <xdr:spPr>
            <a:xfrm>
              <a:off x="4074232" y="1162050"/>
              <a:ext cx="384762" cy="218987"/>
            </a:xfrm>
            <a:prstGeom prst="wedgeRoundRectCallout">
              <a:avLst>
                <a:gd name="adj1" fmla="val 125343"/>
                <a:gd name="adj2" fmla="val -65895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AR 125</a:t>
              </a:r>
            </a:p>
          </xdr:txBody>
        </xdr:sp>
        <xdr:sp macro="" textlink="">
          <xdr:nvSpPr>
            <xdr:cNvPr id="22" name="20 Llamada rectangular redondeada">
              <a:extLst>
                <a:ext uri="{FF2B5EF4-FFF2-40B4-BE49-F238E27FC236}">
                  <a16:creationId xmlns:a16="http://schemas.microsoft.com/office/drawing/2014/main" id="{00000000-0008-0000-0700-000016000000}"/>
                </a:ext>
              </a:extLst>
            </xdr:cNvPr>
            <xdr:cNvSpPr/>
          </xdr:nvSpPr>
          <xdr:spPr>
            <a:xfrm>
              <a:off x="4708974" y="1181100"/>
              <a:ext cx="384762" cy="218987"/>
            </a:xfrm>
            <a:prstGeom prst="wedgeRoundRectCallout">
              <a:avLst>
                <a:gd name="adj1" fmla="val 123253"/>
                <a:gd name="adj2" fmla="val -64051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AR 100</a:t>
              </a:r>
            </a:p>
          </xdr:txBody>
        </xdr:sp>
        <xdr:sp macro="" textlink="">
          <xdr:nvSpPr>
            <xdr:cNvPr id="23" name="21 Llamada rectangular redondeada">
              <a:extLst>
                <a:ext uri="{FF2B5EF4-FFF2-40B4-BE49-F238E27FC236}">
                  <a16:creationId xmlns:a16="http://schemas.microsoft.com/office/drawing/2014/main" id="{00000000-0008-0000-0700-000017000000}"/>
                </a:ext>
              </a:extLst>
            </xdr:cNvPr>
            <xdr:cNvSpPr/>
          </xdr:nvSpPr>
          <xdr:spPr>
            <a:xfrm>
              <a:off x="5320897" y="1171575"/>
              <a:ext cx="333293" cy="218987"/>
            </a:xfrm>
            <a:prstGeom prst="wedgeRoundRectCallout">
              <a:avLst>
                <a:gd name="adj1" fmla="val 134316"/>
                <a:gd name="adj2" fmla="val -76264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AR 75</a:t>
              </a:r>
            </a:p>
          </xdr:txBody>
        </xdr:sp>
        <xdr:sp macro="" textlink="">
          <xdr:nvSpPr>
            <xdr:cNvPr id="24" name="22 Llamada rectangular redondeada">
              <a:extLst>
                <a:ext uri="{FF2B5EF4-FFF2-40B4-BE49-F238E27FC236}">
                  <a16:creationId xmlns:a16="http://schemas.microsoft.com/office/drawing/2014/main" id="{00000000-0008-0000-0700-000018000000}"/>
                </a:ext>
              </a:extLst>
            </xdr:cNvPr>
            <xdr:cNvSpPr/>
          </xdr:nvSpPr>
          <xdr:spPr>
            <a:xfrm>
              <a:off x="5881966" y="1181100"/>
              <a:ext cx="333293" cy="218987"/>
            </a:xfrm>
            <a:prstGeom prst="wedgeRoundRectCallout">
              <a:avLst>
                <a:gd name="adj1" fmla="val 119372"/>
                <a:gd name="adj2" fmla="val -72974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AR</a:t>
              </a:r>
              <a:r>
                <a:rPr lang="es-AR" sz="800" baseline="0">
                  <a:solidFill>
                    <a:sysClr val="windowText" lastClr="000000"/>
                  </a:solidFill>
                </a:rPr>
                <a:t> 50</a:t>
              </a:r>
              <a:endParaRPr lang="es-AR" sz="8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25" name="23 Llamada rectangular redondeada">
              <a:extLst>
                <a:ext uri="{FF2B5EF4-FFF2-40B4-BE49-F238E27FC236}">
                  <a16:creationId xmlns:a16="http://schemas.microsoft.com/office/drawing/2014/main" id="{00000000-0008-0000-0700-000019000000}"/>
                </a:ext>
              </a:extLst>
            </xdr:cNvPr>
            <xdr:cNvSpPr/>
          </xdr:nvSpPr>
          <xdr:spPr>
            <a:xfrm>
              <a:off x="4389028" y="1485901"/>
              <a:ext cx="523272" cy="247649"/>
            </a:xfrm>
            <a:prstGeom prst="wedgeRoundRectCallout">
              <a:avLst>
                <a:gd name="adj1" fmla="val 94573"/>
                <a:gd name="adj2" fmla="val 111181"/>
                <a:gd name="adj3" fmla="val 16667"/>
              </a:avLst>
            </a:prstGeom>
            <a:solidFill>
              <a:schemeClr val="bg1">
                <a:alpha val="75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wrap="none" lIns="36000" tIns="36000" rIns="36000" bIns="36000" rtlCol="0" anchor="t">
              <a:noAutofit/>
            </a:bodyPr>
            <a:lstStyle/>
            <a:p>
              <a:pPr algn="l"/>
              <a:r>
                <a:rPr lang="es-AR" sz="800">
                  <a:solidFill>
                    <a:sysClr val="windowText" lastClr="000000"/>
                  </a:solidFill>
                </a:rPr>
                <a:t>Dortmund</a:t>
              </a:r>
            </a:p>
          </xdr:txBody>
        </xdr:sp>
      </xdr:grpSp>
    </xdr:grpSp>
    <xdr:clientData/>
  </xdr:twoCellAnchor>
  <xdr:twoCellAnchor>
    <xdr:from>
      <xdr:col>7</xdr:col>
      <xdr:colOff>774123</xdr:colOff>
      <xdr:row>15</xdr:row>
      <xdr:rowOff>21166</xdr:rowOff>
    </xdr:from>
    <xdr:to>
      <xdr:col>8</xdr:col>
      <xdr:colOff>7956</xdr:colOff>
      <xdr:row>15</xdr:row>
      <xdr:rowOff>165166</xdr:rowOff>
    </xdr:to>
    <xdr:sp macro="" textlink="">
      <xdr:nvSpPr>
        <xdr:cNvPr id="26" name="Elipse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/>
      </xdr:nvSpPr>
      <xdr:spPr>
        <a:xfrm>
          <a:off x="7117773" y="2878666"/>
          <a:ext cx="205383" cy="144000"/>
        </a:xfrm>
        <a:prstGeom prst="ellipse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>
    <xdr:from>
      <xdr:col>7</xdr:col>
      <xdr:colOff>774123</xdr:colOff>
      <xdr:row>16</xdr:row>
      <xdr:rowOff>44450</xdr:rowOff>
    </xdr:from>
    <xdr:to>
      <xdr:col>8</xdr:col>
      <xdr:colOff>7956</xdr:colOff>
      <xdr:row>16</xdr:row>
      <xdr:rowOff>188450</xdr:rowOff>
    </xdr:to>
    <xdr:sp macro="" textlink="">
      <xdr:nvSpPr>
        <xdr:cNvPr id="27" name="Elipse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/>
      </xdr:nvSpPr>
      <xdr:spPr>
        <a:xfrm>
          <a:off x="6679623" y="3092450"/>
          <a:ext cx="144000" cy="144000"/>
        </a:xfrm>
        <a:prstGeom prst="ellipse">
          <a:avLst/>
        </a:prstGeom>
        <a:solidFill>
          <a:schemeClr val="accent6">
            <a:lumMod val="75000"/>
          </a:schemeClr>
        </a:solidFill>
        <a:ln w="63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twoCellAnchor editAs="oneCell">
    <xdr:from>
      <xdr:col>0</xdr:col>
      <xdr:colOff>15875</xdr:colOff>
      <xdr:row>0</xdr:row>
      <xdr:rowOff>31750</xdr:rowOff>
    </xdr:from>
    <xdr:to>
      <xdr:col>4</xdr:col>
      <xdr:colOff>551877</xdr:colOff>
      <xdr:row>3</xdr:row>
      <xdr:rowOff>169333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" y="31750"/>
          <a:ext cx="4076127" cy="7090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a7" displayName="Tabla7" ref="A45:F51" totalsRowCount="1" headerRowDxfId="49">
  <autoFilter ref="A45:F50" xr:uid="{00000000-0009-0000-0100-000007000000}"/>
  <tableColumns count="6">
    <tableColumn id="1" xr3:uid="{00000000-0010-0000-0000-000001000000}" name="Maceración" totalsRowLabel="Total" dataDxfId="48"/>
    <tableColumn id="2" xr3:uid="{00000000-0010-0000-0000-000002000000}" name="R [l/kg]" dataDxfId="47" totalsRowDxfId="46" dataCellStyle="Millares"/>
    <tableColumn id="3" xr3:uid="{00000000-0010-0000-0000-000003000000}" name="Vol. [l]" totalsRowFunction="sum" dataDxfId="45" totalsRowDxfId="44" dataCellStyle="Millares">
      <calculatedColumnFormula>(E46-D46)*(0.47*C31+C45)/(F46-E46)</calculatedColumnFormula>
    </tableColumn>
    <tableColumn id="4" xr3:uid="{00000000-0010-0000-0000-000004000000}" name="Temp1 [°C]" dataDxfId="43" dataCellStyle="Millares"/>
    <tableColumn id="5" xr3:uid="{00000000-0010-0000-0000-000005000000}" name="Temp2 [°C]" dataDxfId="42" dataCellStyle="Millares"/>
    <tableColumn id="6" xr3:uid="{00000000-0010-0000-0000-000006000000}" name="Temp3 [°C]" dataCellStyle="Millares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abla8" displayName="Tabla8" ref="A54:H70" totalsRowShown="0" headerRowDxfId="41" headerRowBorderDxfId="40" tableBorderDxfId="39">
  <autoFilter ref="A54:H70" xr:uid="{00000000-0009-0000-0100-000008000000}"/>
  <tableColumns count="8">
    <tableColumn id="1" xr3:uid="{00000000-0010-0000-0100-000001000000}" name="Variedad"/>
    <tableColumn id="2" xr3:uid="{00000000-0010-0000-0100-000002000000}" name="Origen"/>
    <tableColumn id="3" xr3:uid="{00000000-0010-0000-0100-000003000000}" name="%AA"/>
    <tableColumn id="4" xr3:uid="{00000000-0010-0000-0100-000004000000}" name="Uso"/>
    <tableColumn id="5" xr3:uid="{00000000-0010-0000-0100-000005000000}" name="Cantidad [gr]"/>
    <tableColumn id="6" xr3:uid="{00000000-0010-0000-0100-000006000000}" name="Tiempo [min]"/>
    <tableColumn id="7" xr3:uid="{00000000-0010-0000-0100-000007000000}" name="% Util."/>
    <tableColumn id="8" xr3:uid="{00000000-0010-0000-0100-000008000000}" name="IBU [mgAA/l]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bmaltused" displayName="tbmaltused" ref="A15:J31" totalsRowShown="0" headerRowDxfId="38">
  <autoFilter ref="A15:J31" xr:uid="{00000000-0009-0000-0100-000009000000}"/>
  <tableColumns count="10">
    <tableColumn id="1" xr3:uid="{00000000-0010-0000-0200-000001000000}" name="Malta" dataDxfId="37"/>
    <tableColumn id="2" xr3:uid="{00000000-0010-0000-0200-000002000000}" name="Tipo" dataDxfId="36" dataCellStyle="Millares"/>
    <tableColumn id="3" xr3:uid="{00000000-0010-0000-0200-000003000000}" name="Peso [Kg]" dataDxfId="35" dataCellStyle="Millares"/>
    <tableColumn id="4" xr3:uid="{00000000-0010-0000-0200-000004000000}" name="%" dataDxfId="34" dataCellStyle="Porcentaje"/>
    <tableColumn id="6" xr3:uid="{00000000-0010-0000-0200-000006000000}" name="Extracto [kg]" dataDxfId="33" dataCellStyle="Millares"/>
    <tableColumn id="7" xr3:uid="{00000000-0010-0000-0200-000007000000}" name="Acidez M1" dataDxfId="32" dataCellStyle="Millares"/>
    <tableColumn id="12" xr3:uid="{5D21DCDC-0DEF-41C5-878C-68B26BA31387}" name="Acidez M2" dataDxfId="31" dataCellStyle="Millares">
      <calculatedColumnFormula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calculatedColumnFormula>
    </tableColumn>
    <tableColumn id="8" xr3:uid="{00000000-0010-0000-0200-000008000000}" name="MCU" dataDxfId="30" dataCellStyle="Millares"/>
    <tableColumn id="9" xr3:uid="{24CA44E7-3287-4146-93B7-D2D6C49F420C}" name="Color [EBC]" dataDxfId="4" dataCellStyle="Millares"/>
    <tableColumn id="10" xr3:uid="{868E52AD-7D64-485A-894B-B51BFA5B369F}" name="Color [°L]" dataDxfId="3" dataCellStyle="Millares"/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K6:M11" totalsRowShown="0" headerRowDxfId="29">
  <autoFilter ref="K6:M11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Elemento" dataDxfId="28"/>
    <tableColumn id="2" xr3:uid="{00000000-0010-0000-0300-000002000000}" name="Masa  Atómica Relativa" dataDxfId="27" dataCellStyle="Millares"/>
    <tableColumn id="3" xr3:uid="{00000000-0010-0000-0300-000003000000}" name="Equivalentes" dataDxfId="26" dataCellStyle="Millares"/>
  </tableColumns>
  <tableStyleInfo name="TableStyleMedium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K13:M23" totalsRowShown="0">
  <autoFilter ref="K13:M23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Molécula" dataDxfId="25"/>
    <tableColumn id="2" xr3:uid="{00000000-0010-0000-0400-000002000000}" name="Masa Molecular Relativa" dataDxfId="24" dataCellStyle="Millares"/>
    <tableColumn id="3" xr3:uid="{00000000-0010-0000-0400-000003000000}" name="Equivalentes" dataDxfId="23" dataCellStyle="Millares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baguas" displayName="tbaguas" ref="A1:N44" totalsRowShown="0" headerRowDxfId="22" dataDxfId="21" headerRowCellStyle="Millares" dataCellStyle="Millares">
  <autoFilter ref="A1:N44" xr:uid="{00000000-0009-0000-0100-000002000000}"/>
  <tableColumns count="14">
    <tableColumn id="1" xr3:uid="{00000000-0010-0000-0500-000001000000}" name="Columna1"/>
    <tableColumn id="2" xr3:uid="{00000000-0010-0000-0500-000002000000}" name="Perfil de Agua"/>
    <tableColumn id="3" xr3:uid="{00000000-0010-0000-0500-000003000000}" name="Calcio (Ca2+)[mg/l]"/>
    <tableColumn id="4" xr3:uid="{00000000-0010-0000-0500-000004000000}" name="Magnesio (Mg2+) [mg/l]"/>
    <tableColumn id="5" xr3:uid="{00000000-0010-0000-0500-000005000000}" name="Sodio (Na1+) [mg/l]"/>
    <tableColumn id="6" xr3:uid="{00000000-0010-0000-0500-000006000000}" name="Sulfato (SO42-) [mg/l]"/>
    <tableColumn id="7" xr3:uid="{00000000-0010-0000-0500-000007000000}" name="Cloruro (Cl1-) [mg/l]"/>
    <tableColumn id="8" xr3:uid="{00000000-0010-0000-0500-000008000000}" name="Bicarbonato (HCO31-) [mg/l]"/>
    <tableColumn id="9" xr3:uid="{00000000-0010-0000-0500-000009000000}" name="Cationes [mEq/l]" dataDxfId="20" dataCellStyle="Millares">
      <calculatedColumnFormula>(C2/20.05)+(D2/12.15)+(E2/23)</calculatedColumnFormula>
    </tableColumn>
    <tableColumn id="10" xr3:uid="{00000000-0010-0000-0500-00000A000000}" name="Aniones [mEq/l]" dataDxfId="19" dataCellStyle="Millares">
      <calculatedColumnFormula>(H2/61)+(F2/48)+(G2/35.45)</calculatedColumnFormula>
    </tableColumn>
    <tableColumn id="11" xr3:uid="{00000000-0010-0000-0500-00000B000000}" name="Dureza total [mg/l de CaCO3]" dataDxfId="18" dataCellStyle="Millares">
      <calculatedColumnFormula>((C2/20)+(D2/12.15))*50</calculatedColumnFormula>
    </tableColumn>
    <tableColumn id="12" xr3:uid="{00000000-0010-0000-0500-00000C000000}" name="Alcalinidad [mg/l de CaCO3]" dataDxfId="17" dataCellStyle="Millares">
      <calculatedColumnFormula>H2*(50/61)*(1+(2*10^-2.33))</calculatedColumnFormula>
    </tableColumn>
    <tableColumn id="13" xr3:uid="{00000000-0010-0000-0500-00000D000000}" name="Alcalinidad Residual (AR) [mg/l de CaCO3]" dataDxfId="16" dataCellStyle="Millares">
      <calculatedColumnFormula>(L2-((C2*0.7143)+(D2*0.5879)))</calculatedColumnFormula>
    </tableColumn>
    <tableColumn id="14" xr3:uid="{00000000-0010-0000-0500-00000E000000}" name="SO42-/Cl1-" dataDxfId="15" dataCellStyle="Millares">
      <calculatedColumnFormula>IF(G2&lt;=0,0,F2/G2)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bdilucion" displayName="tbdilucion" ref="A49:N52" totalsRowShown="0" headerRowDxfId="14" dataDxfId="12" headerRowBorderDxfId="13" tableBorderDxfId="11" headerRowCellStyle="Millares" dataCellStyle="Millares">
  <autoFilter ref="A49:N52" xr:uid="{00000000-0009-0000-0100-000003000000}"/>
  <tableColumns count="14">
    <tableColumn id="1" xr3:uid="{00000000-0010-0000-0600-000001000000}" name="Columna1"/>
    <tableColumn id="2" xr3:uid="{00000000-0010-0000-0600-000002000000}" name="Perfil de Agua"/>
    <tableColumn id="3" xr3:uid="{00000000-0010-0000-0600-000003000000}" name="Calcio (Ca2+)[mg/l]"/>
    <tableColumn id="4" xr3:uid="{00000000-0010-0000-0600-000004000000}" name="Magnesio (Mg2+) [mg/l]"/>
    <tableColumn id="5" xr3:uid="{00000000-0010-0000-0600-000005000000}" name="Sodio (Na1+) [mg/l]"/>
    <tableColumn id="6" xr3:uid="{00000000-0010-0000-0600-000006000000}" name="Sulfato (SO42-) [mg/l]"/>
    <tableColumn id="7" xr3:uid="{00000000-0010-0000-0600-000007000000}" name="Cloruro (Cl1-) [mg/l]"/>
    <tableColumn id="8" xr3:uid="{00000000-0010-0000-0600-000008000000}" name="Bicarbonato (HCO31-) [mg/l]"/>
    <tableColumn id="9" xr3:uid="{00000000-0010-0000-0600-000009000000}" name="Cationes [mEq/l]" dataDxfId="10" dataCellStyle="Millares">
      <calculatedColumnFormula>(C50/20.05)+(D50/12.15)+(E50/23)</calculatedColumnFormula>
    </tableColumn>
    <tableColumn id="10" xr3:uid="{00000000-0010-0000-0600-00000A000000}" name="Aniones [mEq/l]" dataDxfId="9" dataCellStyle="Millares">
      <calculatedColumnFormula>(H50/61)+(F50/48)+(G50/35.45)</calculatedColumnFormula>
    </tableColumn>
    <tableColumn id="11" xr3:uid="{00000000-0010-0000-0600-00000B000000}" name="Dureza total [mg/l de CaCO3]" dataDxfId="8" dataCellStyle="Millares">
      <calculatedColumnFormula>((C50/20)+(D50/12.15))*50</calculatedColumnFormula>
    </tableColumn>
    <tableColumn id="12" xr3:uid="{00000000-0010-0000-0600-00000C000000}" name="Alcalinidad [mg/l de CaCO3]" dataDxfId="7" dataCellStyle="Millares">
      <calculatedColumnFormula>H50*(50/61)*(1+(2*10^-2.33))</calculatedColumnFormula>
    </tableColumn>
    <tableColumn id="13" xr3:uid="{00000000-0010-0000-0600-00000D000000}" name="Alcalinidad Residual (AR) [mg/l de CaCO3]" dataDxfId="6" dataCellStyle="Millares">
      <calculatedColumnFormula>(L50-((C50*0.7143)+(D50*0.5879)))</calculatedColumnFormula>
    </tableColumn>
    <tableColumn id="14" xr3:uid="{00000000-0010-0000-0600-00000E000000}" name="SO42-/Cl1-" dataDxfId="5" dataCellStyle="Millares">
      <calculatedColumnFormula>IF(F50&lt;=0,0,F50/G50)</calculatedColumnFormula>
    </tableColumn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7000000}" name="tbMaltas" displayName="tbMaltas" ref="A1:G31" totalsRowShown="0">
  <autoFilter ref="A1:G31" xr:uid="{00000000-0009-0000-0100-000001000000}"/>
  <sortState xmlns:xlrd2="http://schemas.microsoft.com/office/spreadsheetml/2017/richdata2" ref="A2:G31">
    <sortCondition ref="C2:C31"/>
  </sortState>
  <tableColumns count="7">
    <tableColumn id="1" xr3:uid="{00000000-0010-0000-0700-000001000000}" name="Columna1"/>
    <tableColumn id="2" xr3:uid="{00000000-0010-0000-0700-000002000000}" name="Malta"/>
    <tableColumn id="3" xr3:uid="{00000000-0010-0000-0700-000003000000}" name="Tipo"/>
    <tableColumn id="4" xr3:uid="{00000000-0010-0000-0700-000004000000}" name="Color [°L]" dataCellStyle="Millares"/>
    <tableColumn id="7" xr3:uid="{00000000-0010-0000-0700-000007000000}" name="EBC" dataCellStyle="Millares"/>
    <tableColumn id="5" xr3:uid="{00000000-0010-0000-0700-000005000000}" name="Marca"/>
    <tableColumn id="6" xr3:uid="{00000000-0010-0000-0700-000006000000}" name="Origen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blupulos" displayName="tblupulos" ref="J1:N15" totalsRowShown="0">
  <autoFilter ref="J1:N15" xr:uid="{00000000-0009-0000-0100-000006000000}"/>
  <tableColumns count="5">
    <tableColumn id="1" xr3:uid="{00000000-0010-0000-0800-000001000000}" name="Variedad"/>
    <tableColumn id="2" xr3:uid="{00000000-0010-0000-0800-000002000000}" name="Origen"/>
    <tableColumn id="3" xr3:uid="{00000000-0010-0000-0800-000003000000}" name="%AA"/>
    <tableColumn id="4" xr3:uid="{00000000-0010-0000-0800-000004000000}" name="Uso"/>
    <tableColumn id="5" xr3:uid="{00000000-0010-0000-0800-000005000000}" name="Marca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5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45A1AF7-EEC6-431D-B323-DD8956CF2AFB}">
  <we:reference id="wa104100404" version="2.0.0.0" store="es-ES" storeType="OMEX"/>
  <we:alternateReferences>
    <we:reference id="WA104100404" version="2.0.0.0" store="WA104100404" storeType="OMEX"/>
  </we:alternateReferences>
  <we:properties/>
  <we:bindings>
    <we:binding id="refEdit" type="matrix" appref="{3B76F8E4-D43C-49B4-8F64-BBC0F5D5EB55}"/>
    <we:binding id="Worker" type="matrix" appref="{4BCF567E-606C-40C5-A059-E5088E63E885}"/>
  </we:bindings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2:H94"/>
  <sheetViews>
    <sheetView showGridLines="0" showRowColHeaders="0" showRuler="0" view="pageLayout" zoomScaleNormal="100" workbookViewId="0">
      <selection activeCell="E30" sqref="E30"/>
    </sheetView>
  </sheetViews>
  <sheetFormatPr baseColWidth="10" defaultColWidth="11.28515625" defaultRowHeight="15" x14ac:dyDescent="0.25"/>
  <cols>
    <col min="1" max="1" width="23.5703125" style="6" bestFit="1" customWidth="1"/>
    <col min="2" max="2" width="10.140625" customWidth="1"/>
    <col min="3" max="3" width="12.42578125" bestFit="1" customWidth="1"/>
    <col min="4" max="4" width="12" customWidth="1"/>
    <col min="5" max="5" width="10.140625" style="6" customWidth="1"/>
    <col min="6" max="7" width="10.140625" customWidth="1"/>
  </cols>
  <sheetData>
    <row r="2" spans="1:8" ht="15.75" thickBot="1" x14ac:dyDescent="0.3">
      <c r="A2" s="27"/>
      <c r="B2" s="4"/>
      <c r="C2" s="4"/>
      <c r="D2" s="4"/>
      <c r="E2" s="27"/>
      <c r="F2" s="4"/>
      <c r="G2" s="4"/>
      <c r="H2" s="4"/>
    </row>
    <row r="3" spans="1:8" ht="19.5" thickBot="1" x14ac:dyDescent="0.35">
      <c r="A3" s="40"/>
      <c r="B3" s="39" t="s">
        <v>144</v>
      </c>
      <c r="C3" s="38"/>
      <c r="D3" s="38"/>
      <c r="E3" s="40"/>
      <c r="F3" s="38"/>
      <c r="G3" s="38"/>
    </row>
    <row r="4" spans="1:8" ht="22.5" customHeight="1" x14ac:dyDescent="0.25">
      <c r="A4" s="6" t="s">
        <v>93</v>
      </c>
      <c r="B4" s="7"/>
      <c r="C4" s="7"/>
      <c r="D4" s="7"/>
      <c r="E4" s="6" t="s">
        <v>96</v>
      </c>
      <c r="F4" s="7"/>
      <c r="G4" s="7"/>
    </row>
    <row r="5" spans="1:8" ht="22.5" customHeight="1" x14ac:dyDescent="0.25">
      <c r="B5" s="27" t="s">
        <v>526</v>
      </c>
      <c r="C5" s="3"/>
      <c r="D5" s="4"/>
      <c r="E5" s="27" t="s">
        <v>525</v>
      </c>
      <c r="F5" s="3"/>
      <c r="G5" s="3"/>
    </row>
    <row r="6" spans="1:8" ht="22.5" customHeight="1" x14ac:dyDescent="0.25">
      <c r="A6" s="6" t="s">
        <v>120</v>
      </c>
      <c r="B6" s="7"/>
      <c r="C6" s="7"/>
      <c r="D6" s="6" t="s">
        <v>97</v>
      </c>
      <c r="E6" s="9"/>
      <c r="F6" s="7"/>
      <c r="G6" s="7"/>
    </row>
    <row r="7" spans="1:8" ht="22.5" customHeight="1" x14ac:dyDescent="0.35">
      <c r="A7" s="6" t="s">
        <v>98</v>
      </c>
      <c r="B7" s="6" t="s">
        <v>101</v>
      </c>
      <c r="C7" s="7"/>
      <c r="D7" s="6" t="s">
        <v>102</v>
      </c>
      <c r="E7" s="9"/>
      <c r="F7" s="6" t="s">
        <v>103</v>
      </c>
      <c r="G7" s="7"/>
    </row>
    <row r="8" spans="1:8" ht="22.5" customHeight="1" x14ac:dyDescent="0.35">
      <c r="B8" s="6" t="s">
        <v>99</v>
      </c>
      <c r="C8" s="3"/>
      <c r="D8" s="6" t="s">
        <v>104</v>
      </c>
      <c r="E8" s="10"/>
      <c r="F8" s="6" t="s">
        <v>100</v>
      </c>
      <c r="G8" s="3"/>
    </row>
    <row r="9" spans="1:8" ht="22.5" customHeight="1" x14ac:dyDescent="0.25"/>
    <row r="10" spans="1:8" ht="22.5" customHeight="1" x14ac:dyDescent="0.25">
      <c r="A10" s="6" t="s">
        <v>94</v>
      </c>
      <c r="B10" s="7"/>
      <c r="C10" s="7"/>
      <c r="D10" s="6" t="s">
        <v>97</v>
      </c>
      <c r="E10" s="9"/>
      <c r="F10" s="7"/>
      <c r="G10" s="7"/>
    </row>
    <row r="11" spans="1:8" ht="22.5" customHeight="1" x14ac:dyDescent="0.25">
      <c r="A11" s="6" t="s">
        <v>105</v>
      </c>
      <c r="B11" s="3"/>
      <c r="C11" s="26"/>
      <c r="D11" s="6" t="s">
        <v>100</v>
      </c>
      <c r="E11" s="10"/>
      <c r="F11" s="3"/>
      <c r="G11" s="3"/>
    </row>
    <row r="12" spans="1:8" ht="22.5" customHeight="1" x14ac:dyDescent="0.25">
      <c r="A12" s="6" t="s">
        <v>106</v>
      </c>
      <c r="B12" s="3"/>
      <c r="C12" s="3"/>
      <c r="D12" s="6" t="s">
        <v>100</v>
      </c>
      <c r="E12" s="10"/>
      <c r="F12" s="3"/>
      <c r="G12" s="3"/>
    </row>
    <row r="13" spans="1:8" ht="22.5" customHeight="1" x14ac:dyDescent="0.25">
      <c r="A13" s="6" t="s">
        <v>110</v>
      </c>
      <c r="B13" s="3"/>
      <c r="C13" s="3"/>
      <c r="D13" s="6" t="s">
        <v>97</v>
      </c>
      <c r="E13" s="10"/>
      <c r="F13" s="3"/>
      <c r="G13" s="3"/>
    </row>
    <row r="14" spans="1:8" ht="22.5" customHeight="1" x14ac:dyDescent="0.25">
      <c r="B14" s="4"/>
      <c r="C14" s="4"/>
    </row>
    <row r="15" spans="1:8" ht="22.5" customHeight="1" x14ac:dyDescent="0.25">
      <c r="A15" s="6" t="s">
        <v>111</v>
      </c>
      <c r="B15" s="7"/>
      <c r="C15" s="7"/>
    </row>
    <row r="16" spans="1:8" ht="22.5" customHeight="1" x14ac:dyDescent="0.25">
      <c r="A16" s="6" t="s">
        <v>95</v>
      </c>
      <c r="B16" s="7"/>
      <c r="C16" s="6" t="s">
        <v>52</v>
      </c>
      <c r="D16" s="7"/>
      <c r="E16" s="6" t="s">
        <v>107</v>
      </c>
      <c r="F16" s="7"/>
      <c r="G16" s="7"/>
    </row>
    <row r="17" spans="1:7" ht="22.5" customHeight="1" x14ac:dyDescent="0.25">
      <c r="A17" s="6" t="s">
        <v>112</v>
      </c>
      <c r="B17" s="3"/>
      <c r="C17" s="6" t="s">
        <v>52</v>
      </c>
      <c r="D17" s="3"/>
      <c r="E17" s="6" t="s">
        <v>107</v>
      </c>
      <c r="F17" s="3"/>
      <c r="G17" s="3"/>
    </row>
    <row r="18" spans="1:7" ht="22.5" customHeight="1" x14ac:dyDescent="0.25">
      <c r="A18" s="6" t="s">
        <v>113</v>
      </c>
      <c r="B18" s="3"/>
      <c r="C18" s="6" t="s">
        <v>52</v>
      </c>
      <c r="D18" s="3"/>
      <c r="E18" s="6" t="s">
        <v>107</v>
      </c>
      <c r="F18" s="7"/>
      <c r="G18" s="7"/>
    </row>
    <row r="19" spans="1:7" ht="22.5" customHeight="1" x14ac:dyDescent="0.25">
      <c r="A19" s="6" t="s">
        <v>114</v>
      </c>
      <c r="B19" s="3"/>
      <c r="C19" s="6" t="s">
        <v>52</v>
      </c>
      <c r="D19" s="3"/>
      <c r="E19" s="6" t="s">
        <v>107</v>
      </c>
      <c r="F19" s="3"/>
      <c r="G19" s="3"/>
    </row>
    <row r="20" spans="1:7" ht="22.5" customHeight="1" x14ac:dyDescent="0.25">
      <c r="A20" s="6" t="s">
        <v>115</v>
      </c>
      <c r="B20" s="3"/>
      <c r="C20" s="6" t="s">
        <v>52</v>
      </c>
      <c r="D20" s="3"/>
      <c r="E20" s="6" t="s">
        <v>107</v>
      </c>
      <c r="F20" s="3"/>
      <c r="G20" s="3"/>
    </row>
    <row r="21" spans="1:7" ht="22.5" customHeight="1" x14ac:dyDescent="0.25">
      <c r="A21" s="6" t="s">
        <v>116</v>
      </c>
      <c r="B21" s="3"/>
      <c r="C21" s="6" t="s">
        <v>52</v>
      </c>
      <c r="D21" s="3"/>
      <c r="E21" s="6" t="s">
        <v>107</v>
      </c>
      <c r="F21" s="3"/>
      <c r="G21" s="3"/>
    </row>
    <row r="22" spans="1:7" ht="22.5" customHeight="1" x14ac:dyDescent="0.25">
      <c r="A22" s="6" t="s">
        <v>122</v>
      </c>
      <c r="B22" s="3"/>
      <c r="C22" s="6" t="s">
        <v>52</v>
      </c>
      <c r="D22" s="3"/>
      <c r="E22" s="6" t="s">
        <v>107</v>
      </c>
      <c r="F22" s="7"/>
      <c r="G22" s="7"/>
    </row>
    <row r="23" spans="1:7" ht="22.5" customHeight="1" x14ac:dyDescent="0.25">
      <c r="A23" s="6" t="s">
        <v>123</v>
      </c>
      <c r="B23" s="3"/>
      <c r="C23" s="6" t="s">
        <v>52</v>
      </c>
      <c r="D23" s="3"/>
      <c r="E23" s="6" t="s">
        <v>107</v>
      </c>
      <c r="F23" s="3"/>
      <c r="G23" s="3"/>
    </row>
    <row r="24" spans="1:7" ht="22.5" customHeight="1" x14ac:dyDescent="0.25">
      <c r="A24" s="6" t="s">
        <v>124</v>
      </c>
      <c r="B24" s="3"/>
      <c r="C24" s="6" t="s">
        <v>52</v>
      </c>
      <c r="D24" s="3"/>
      <c r="E24" s="6" t="s">
        <v>107</v>
      </c>
      <c r="F24" s="3"/>
      <c r="G24" s="3"/>
    </row>
    <row r="25" spans="1:7" ht="22.5" customHeight="1" x14ac:dyDescent="0.25">
      <c r="A25" s="6" t="s">
        <v>125</v>
      </c>
      <c r="B25" s="3"/>
      <c r="C25" s="6" t="s">
        <v>52</v>
      </c>
      <c r="D25" s="3"/>
      <c r="E25" s="6" t="s">
        <v>107</v>
      </c>
      <c r="F25" s="3"/>
      <c r="G25" s="3"/>
    </row>
    <row r="26" spans="1:7" ht="22.5" customHeight="1" x14ac:dyDescent="0.25">
      <c r="B26" s="4"/>
      <c r="C26" s="4"/>
      <c r="D26" s="4"/>
      <c r="E26" s="27"/>
      <c r="F26" s="4"/>
      <c r="G26" s="4"/>
    </row>
    <row r="27" spans="1:7" ht="22.5" customHeight="1" x14ac:dyDescent="0.25">
      <c r="A27" s="6" t="s">
        <v>117</v>
      </c>
      <c r="B27" s="7"/>
      <c r="C27" s="6" t="s">
        <v>52</v>
      </c>
      <c r="D27" s="7"/>
      <c r="E27" s="6" t="s">
        <v>107</v>
      </c>
      <c r="F27" s="7"/>
      <c r="G27" s="7"/>
    </row>
    <row r="28" spans="1:7" ht="22.5" customHeight="1" x14ac:dyDescent="0.25">
      <c r="A28" s="6" t="s">
        <v>118</v>
      </c>
      <c r="B28" s="3"/>
      <c r="C28" s="7"/>
      <c r="E28" s="6" t="s">
        <v>108</v>
      </c>
      <c r="F28" s="3"/>
      <c r="G28" s="3"/>
    </row>
    <row r="29" spans="1:7" ht="22.5" customHeight="1" x14ac:dyDescent="0.25">
      <c r="A29" s="6" t="s">
        <v>119</v>
      </c>
      <c r="B29" s="7"/>
      <c r="C29" s="3"/>
      <c r="E29" s="6" t="s">
        <v>109</v>
      </c>
      <c r="F29" s="3"/>
      <c r="G29" s="3"/>
    </row>
    <row r="30" spans="1:7" ht="22.5" customHeight="1" x14ac:dyDescent="0.25">
      <c r="A30" s="6" t="s">
        <v>121</v>
      </c>
      <c r="B30" s="3"/>
      <c r="C30" s="3"/>
      <c r="E30" s="6" t="s">
        <v>100</v>
      </c>
      <c r="F30" s="3"/>
      <c r="G30" s="3"/>
    </row>
    <row r="31" spans="1:7" ht="22.5" customHeight="1" x14ac:dyDescent="0.25"/>
    <row r="32" spans="1:7" ht="22.5" customHeight="1" x14ac:dyDescent="0.25">
      <c r="A32" s="9"/>
      <c r="B32" s="7"/>
      <c r="C32" s="7"/>
      <c r="D32" s="7"/>
      <c r="E32" s="9"/>
      <c r="F32" s="7"/>
      <c r="G32" s="7"/>
    </row>
    <row r="33" spans="1:7" ht="22.5" customHeight="1" x14ac:dyDescent="0.25">
      <c r="A33" s="10"/>
      <c r="B33" s="3"/>
      <c r="C33" s="3"/>
      <c r="D33" s="3"/>
      <c r="E33" s="10"/>
      <c r="F33" s="3"/>
      <c r="G33" s="3"/>
    </row>
    <row r="34" spans="1:7" ht="22.5" customHeight="1" x14ac:dyDescent="0.25">
      <c r="A34" s="10"/>
      <c r="B34" s="3"/>
      <c r="C34" s="3"/>
      <c r="D34" s="3"/>
      <c r="E34" s="10"/>
      <c r="F34" s="3"/>
      <c r="G34" s="3"/>
    </row>
    <row r="35" spans="1:7" ht="22.5" customHeight="1" x14ac:dyDescent="0.25"/>
    <row r="36" spans="1:7" ht="22.5" customHeight="1" x14ac:dyDescent="0.25"/>
    <row r="37" spans="1:7" ht="22.5" customHeight="1" x14ac:dyDescent="0.25"/>
    <row r="38" spans="1:7" ht="22.5" customHeight="1" x14ac:dyDescent="0.25"/>
    <row r="39" spans="1:7" ht="22.5" customHeight="1" x14ac:dyDescent="0.25"/>
    <row r="40" spans="1:7" ht="22.5" customHeight="1" x14ac:dyDescent="0.25"/>
    <row r="41" spans="1:7" ht="22.5" customHeight="1" x14ac:dyDescent="0.25"/>
    <row r="42" spans="1:7" ht="22.5" customHeight="1" x14ac:dyDescent="0.25"/>
    <row r="43" spans="1:7" ht="22.5" customHeight="1" x14ac:dyDescent="0.25"/>
    <row r="44" spans="1:7" ht="22.5" customHeight="1" x14ac:dyDescent="0.25"/>
    <row r="45" spans="1:7" ht="22.5" customHeight="1" x14ac:dyDescent="0.25"/>
    <row r="46" spans="1:7" ht="22.5" customHeight="1" x14ac:dyDescent="0.25"/>
    <row r="47" spans="1:7" ht="22.5" customHeight="1" x14ac:dyDescent="0.25"/>
    <row r="48" spans="1:7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2.5" customHeight="1" x14ac:dyDescent="0.25"/>
    <row r="62" ht="22.5" customHeight="1" x14ac:dyDescent="0.25"/>
    <row r="63" ht="22.5" customHeight="1" x14ac:dyDescent="0.25"/>
    <row r="64" ht="22.5" customHeight="1" x14ac:dyDescent="0.25"/>
    <row r="65" ht="22.5" customHeight="1" x14ac:dyDescent="0.25"/>
    <row r="66" ht="22.5" customHeight="1" x14ac:dyDescent="0.25"/>
    <row r="67" ht="22.5" customHeight="1" x14ac:dyDescent="0.25"/>
    <row r="68" ht="22.5" customHeight="1" x14ac:dyDescent="0.25"/>
    <row r="69" ht="22.5" customHeight="1" x14ac:dyDescent="0.25"/>
    <row r="70" ht="22.5" customHeight="1" x14ac:dyDescent="0.25"/>
    <row r="71" ht="22.5" customHeight="1" x14ac:dyDescent="0.25"/>
    <row r="72" ht="22.5" customHeight="1" x14ac:dyDescent="0.25"/>
    <row r="73" ht="22.5" customHeight="1" x14ac:dyDescent="0.25"/>
    <row r="74" ht="22.5" customHeight="1" x14ac:dyDescent="0.25"/>
    <row r="75" ht="22.5" customHeight="1" x14ac:dyDescent="0.25"/>
    <row r="76" ht="22.5" customHeight="1" x14ac:dyDescent="0.25"/>
    <row r="77" ht="22.5" customHeight="1" x14ac:dyDescent="0.25"/>
    <row r="78" ht="22.5" customHeight="1" x14ac:dyDescent="0.25"/>
    <row r="79" ht="22.5" customHeight="1" x14ac:dyDescent="0.25"/>
    <row r="80" ht="22.5" customHeight="1" x14ac:dyDescent="0.25"/>
    <row r="81" ht="22.5" customHeight="1" x14ac:dyDescent="0.25"/>
    <row r="82" ht="22.5" customHeight="1" x14ac:dyDescent="0.25"/>
    <row r="83" ht="22.5" customHeight="1" x14ac:dyDescent="0.25"/>
    <row r="84" ht="22.5" customHeight="1" x14ac:dyDescent="0.25"/>
    <row r="85" ht="22.5" customHeight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  <row r="90" ht="22.5" customHeight="1" x14ac:dyDescent="0.25"/>
    <row r="91" ht="22.5" customHeight="1" x14ac:dyDescent="0.25"/>
    <row r="92" ht="22.5" customHeight="1" x14ac:dyDescent="0.25"/>
    <row r="93" ht="22.5" customHeight="1" x14ac:dyDescent="0.25"/>
    <row r="94" ht="22.5" customHeight="1" x14ac:dyDescent="0.25"/>
  </sheetData>
  <sheetProtection algorithmName="SHA-512" hashValue="LviRPVyS2cmc1n2EBMXfJ7rmQyMt9hBai12tc7zMk3X12OC67E37JqgRa88nNd05tq1xdh43mnmbRU+xNGWRAw==" saltValue="4/H61DGGmUQkMU5cNtUNkA==" spinCount="100000" sheet="1" objects="1" scenarios="1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  <headerFooter>
    <oddHeader>&amp;C&amp;G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1"/>
  <sheetViews>
    <sheetView workbookViewId="0">
      <selection activeCell="C7" sqref="C7"/>
    </sheetView>
  </sheetViews>
  <sheetFormatPr baseColWidth="10" defaultRowHeight="15" x14ac:dyDescent="0.25"/>
  <cols>
    <col min="1" max="1" width="12" customWidth="1"/>
    <col min="2" max="2" width="17.7109375" bestFit="1" customWidth="1"/>
    <col min="3" max="3" width="12.140625" bestFit="1" customWidth="1"/>
    <col min="4" max="5" width="11.42578125" style="2"/>
    <col min="10" max="10" width="19.5703125" bestFit="1" customWidth="1"/>
    <col min="14" max="14" width="22" bestFit="1" customWidth="1"/>
  </cols>
  <sheetData>
    <row r="1" spans="1:14" x14ac:dyDescent="0.25">
      <c r="A1" t="s">
        <v>351</v>
      </c>
      <c r="B1" t="s">
        <v>12</v>
      </c>
      <c r="C1" t="s">
        <v>34</v>
      </c>
      <c r="D1" s="2" t="s">
        <v>14</v>
      </c>
      <c r="E1" s="2" t="s">
        <v>532</v>
      </c>
      <c r="F1" t="s">
        <v>347</v>
      </c>
      <c r="G1" t="s">
        <v>17</v>
      </c>
      <c r="J1" t="s">
        <v>8</v>
      </c>
      <c r="K1" t="s">
        <v>17</v>
      </c>
      <c r="L1" t="s">
        <v>9</v>
      </c>
      <c r="M1" t="s">
        <v>53</v>
      </c>
      <c r="N1" t="s">
        <v>347</v>
      </c>
    </row>
    <row r="2" spans="1:14" x14ac:dyDescent="0.25">
      <c r="A2">
        <v>1</v>
      </c>
      <c r="B2" t="s">
        <v>531</v>
      </c>
      <c r="C2" t="s">
        <v>147</v>
      </c>
      <c r="D2" s="2">
        <v>2</v>
      </c>
      <c r="E2" s="2">
        <v>4.0999999999999996</v>
      </c>
      <c r="F2" t="s">
        <v>491</v>
      </c>
      <c r="G2" t="s">
        <v>492</v>
      </c>
      <c r="J2" t="s">
        <v>59</v>
      </c>
      <c r="K2" t="s">
        <v>32</v>
      </c>
      <c r="L2">
        <v>9</v>
      </c>
      <c r="M2" t="s">
        <v>55</v>
      </c>
    </row>
    <row r="3" spans="1:14" x14ac:dyDescent="0.25">
      <c r="A3">
        <v>2</v>
      </c>
      <c r="B3" t="s">
        <v>29</v>
      </c>
      <c r="C3" t="s">
        <v>146</v>
      </c>
      <c r="D3" s="2">
        <v>2.3396226415094339</v>
      </c>
      <c r="E3" s="2">
        <v>5</v>
      </c>
      <c r="F3" t="s">
        <v>348</v>
      </c>
      <c r="G3" t="s">
        <v>33</v>
      </c>
      <c r="J3" t="s">
        <v>60</v>
      </c>
      <c r="K3" t="s">
        <v>32</v>
      </c>
      <c r="L3">
        <v>16</v>
      </c>
      <c r="M3" t="s">
        <v>54</v>
      </c>
    </row>
    <row r="4" spans="1:14" x14ac:dyDescent="0.25">
      <c r="A4">
        <v>3</v>
      </c>
      <c r="B4" t="s">
        <v>527</v>
      </c>
      <c r="C4" t="s">
        <v>146</v>
      </c>
      <c r="D4" s="2">
        <v>6.11</v>
      </c>
      <c r="E4" s="2">
        <v>15</v>
      </c>
      <c r="F4" t="s">
        <v>348</v>
      </c>
      <c r="G4" t="s">
        <v>33</v>
      </c>
      <c r="J4" t="s">
        <v>10</v>
      </c>
      <c r="K4" t="s">
        <v>33</v>
      </c>
      <c r="L4">
        <v>7</v>
      </c>
      <c r="M4" t="s">
        <v>55</v>
      </c>
    </row>
    <row r="5" spans="1:14" x14ac:dyDescent="0.25">
      <c r="A5">
        <v>4</v>
      </c>
      <c r="B5" t="s">
        <v>528</v>
      </c>
      <c r="C5" t="s">
        <v>146</v>
      </c>
      <c r="D5" s="2">
        <v>3.7735849056603774</v>
      </c>
      <c r="E5" s="2">
        <v>8.8000000000000007</v>
      </c>
      <c r="F5" t="s">
        <v>348</v>
      </c>
      <c r="G5" t="s">
        <v>33</v>
      </c>
      <c r="J5" t="s">
        <v>11</v>
      </c>
      <c r="K5" t="s">
        <v>33</v>
      </c>
      <c r="L5">
        <v>7</v>
      </c>
      <c r="M5" t="s">
        <v>55</v>
      </c>
    </row>
    <row r="6" spans="1:14" x14ac:dyDescent="0.25">
      <c r="A6">
        <v>5</v>
      </c>
      <c r="B6" t="s">
        <v>537</v>
      </c>
      <c r="C6" t="s">
        <v>146</v>
      </c>
      <c r="D6" s="2">
        <v>0.8528301886792452</v>
      </c>
      <c r="E6" s="2">
        <v>1.06</v>
      </c>
      <c r="F6" t="s">
        <v>348</v>
      </c>
      <c r="G6" t="s">
        <v>33</v>
      </c>
      <c r="J6" t="s">
        <v>406</v>
      </c>
      <c r="K6" t="s">
        <v>32</v>
      </c>
      <c r="L6">
        <v>5</v>
      </c>
      <c r="M6" t="s">
        <v>56</v>
      </c>
    </row>
    <row r="7" spans="1:14" x14ac:dyDescent="0.25">
      <c r="A7">
        <v>6</v>
      </c>
      <c r="B7" t="s">
        <v>490</v>
      </c>
      <c r="C7" t="s">
        <v>147</v>
      </c>
      <c r="D7" s="2">
        <v>2.3396226415094339</v>
      </c>
      <c r="E7" s="2">
        <v>5</v>
      </c>
      <c r="F7" t="s">
        <v>348</v>
      </c>
      <c r="G7" t="s">
        <v>33</v>
      </c>
      <c r="J7" t="s">
        <v>407</v>
      </c>
      <c r="K7" t="s">
        <v>33</v>
      </c>
      <c r="L7">
        <v>12.5</v>
      </c>
      <c r="M7" t="s">
        <v>54</v>
      </c>
      <c r="N7" t="s">
        <v>408</v>
      </c>
    </row>
    <row r="8" spans="1:14" x14ac:dyDescent="0.25">
      <c r="A8">
        <v>7</v>
      </c>
      <c r="B8" t="s">
        <v>483</v>
      </c>
      <c r="C8" t="s">
        <v>146</v>
      </c>
      <c r="D8" s="2">
        <v>2</v>
      </c>
      <c r="E8" s="2">
        <v>4.0999999999999996</v>
      </c>
      <c r="F8" t="s">
        <v>484</v>
      </c>
      <c r="J8" t="s">
        <v>409</v>
      </c>
      <c r="K8" t="s">
        <v>33</v>
      </c>
      <c r="L8">
        <v>12</v>
      </c>
      <c r="M8" t="s">
        <v>54</v>
      </c>
      <c r="N8" t="s">
        <v>408</v>
      </c>
    </row>
    <row r="9" spans="1:14" x14ac:dyDescent="0.25">
      <c r="A9">
        <v>8</v>
      </c>
      <c r="B9" t="s">
        <v>536</v>
      </c>
      <c r="C9" t="s">
        <v>146</v>
      </c>
      <c r="D9" s="2">
        <v>1.5849056603773586</v>
      </c>
      <c r="E9" s="2">
        <v>3</v>
      </c>
      <c r="F9" t="s">
        <v>349</v>
      </c>
      <c r="G9" t="s">
        <v>33</v>
      </c>
      <c r="J9" t="s">
        <v>410</v>
      </c>
      <c r="K9" t="s">
        <v>33</v>
      </c>
      <c r="L9">
        <v>8.5</v>
      </c>
      <c r="M9" t="s">
        <v>54</v>
      </c>
      <c r="N9" t="s">
        <v>408</v>
      </c>
    </row>
    <row r="10" spans="1:14" x14ac:dyDescent="0.25">
      <c r="A10">
        <v>9</v>
      </c>
      <c r="B10" t="s">
        <v>31</v>
      </c>
      <c r="C10" t="s">
        <v>146</v>
      </c>
      <c r="D10" s="2">
        <v>3.2</v>
      </c>
      <c r="E10" s="2">
        <v>7.28</v>
      </c>
      <c r="F10" t="s">
        <v>349</v>
      </c>
      <c r="G10" t="s">
        <v>33</v>
      </c>
      <c r="J10" t="s">
        <v>411</v>
      </c>
      <c r="K10" t="s">
        <v>33</v>
      </c>
      <c r="L10">
        <v>4.5</v>
      </c>
      <c r="M10" t="s">
        <v>56</v>
      </c>
      <c r="N10" t="s">
        <v>408</v>
      </c>
    </row>
    <row r="11" spans="1:14" x14ac:dyDescent="0.25">
      <c r="A11">
        <v>10</v>
      </c>
      <c r="B11" t="s">
        <v>458</v>
      </c>
      <c r="C11" t="s">
        <v>146</v>
      </c>
      <c r="D11" s="2">
        <v>3.3734999999999999</v>
      </c>
      <c r="E11" s="2">
        <v>7.739774999999999</v>
      </c>
      <c r="F11" t="s">
        <v>350</v>
      </c>
      <c r="G11" t="s">
        <v>32</v>
      </c>
      <c r="J11" t="s">
        <v>412</v>
      </c>
      <c r="K11" t="s">
        <v>33</v>
      </c>
      <c r="L11">
        <v>5</v>
      </c>
      <c r="M11" t="s">
        <v>56</v>
      </c>
      <c r="N11" t="s">
        <v>408</v>
      </c>
    </row>
    <row r="12" spans="1:14" x14ac:dyDescent="0.25">
      <c r="A12">
        <v>11</v>
      </c>
      <c r="B12" t="s">
        <v>459</v>
      </c>
      <c r="C12" t="s">
        <v>146</v>
      </c>
      <c r="D12" s="2">
        <v>6.1859999999999999</v>
      </c>
      <c r="E12" s="2">
        <v>15.192900000000002</v>
      </c>
      <c r="F12" t="s">
        <v>350</v>
      </c>
      <c r="G12" t="s">
        <v>32</v>
      </c>
      <c r="J12" t="s">
        <v>493</v>
      </c>
      <c r="L12">
        <v>3.9</v>
      </c>
      <c r="M12" t="s">
        <v>56</v>
      </c>
    </row>
    <row r="13" spans="1:14" x14ac:dyDescent="0.25">
      <c r="A13">
        <v>12</v>
      </c>
      <c r="B13" t="s">
        <v>460</v>
      </c>
      <c r="C13" t="s">
        <v>146</v>
      </c>
      <c r="D13" s="2">
        <v>8.9984999999999999</v>
      </c>
      <c r="E13" s="2">
        <v>22.646024999999998</v>
      </c>
      <c r="F13" t="s">
        <v>350</v>
      </c>
      <c r="G13" t="s">
        <v>32</v>
      </c>
      <c r="J13" t="s">
        <v>495</v>
      </c>
      <c r="L13">
        <v>12.2</v>
      </c>
      <c r="M13" t="s">
        <v>54</v>
      </c>
      <c r="N13" t="s">
        <v>494</v>
      </c>
    </row>
    <row r="14" spans="1:14" x14ac:dyDescent="0.25">
      <c r="A14">
        <v>13</v>
      </c>
      <c r="B14" t="s">
        <v>535</v>
      </c>
      <c r="C14" t="s">
        <v>146</v>
      </c>
      <c r="D14" s="2">
        <v>1.9622641509433965</v>
      </c>
      <c r="E14" s="2">
        <v>4</v>
      </c>
      <c r="F14" t="s">
        <v>539</v>
      </c>
      <c r="G14" t="s">
        <v>33</v>
      </c>
      <c r="J14" t="s">
        <v>496</v>
      </c>
      <c r="L14">
        <v>9.6</v>
      </c>
      <c r="M14" t="s">
        <v>55</v>
      </c>
    </row>
    <row r="15" spans="1:14" x14ac:dyDescent="0.25">
      <c r="A15">
        <v>14</v>
      </c>
      <c r="B15" t="s">
        <v>24</v>
      </c>
      <c r="C15" t="s">
        <v>147</v>
      </c>
      <c r="D15" s="2">
        <v>17.962264150943398</v>
      </c>
      <c r="E15" s="2">
        <v>46.4</v>
      </c>
      <c r="F15" t="s">
        <v>348</v>
      </c>
      <c r="G15" t="s">
        <v>33</v>
      </c>
      <c r="J15" t="s">
        <v>499</v>
      </c>
      <c r="K15" t="s">
        <v>492</v>
      </c>
      <c r="L15">
        <v>14.5</v>
      </c>
      <c r="M15" t="s">
        <v>54</v>
      </c>
      <c r="N15" t="s">
        <v>500</v>
      </c>
    </row>
    <row r="16" spans="1:14" x14ac:dyDescent="0.25">
      <c r="A16">
        <v>15</v>
      </c>
      <c r="B16" t="s">
        <v>25</v>
      </c>
      <c r="C16" t="s">
        <v>147</v>
      </c>
      <c r="D16" s="2">
        <v>51.39622641509434</v>
      </c>
      <c r="E16" s="2">
        <v>135</v>
      </c>
      <c r="F16" t="s">
        <v>348</v>
      </c>
      <c r="G16" t="s">
        <v>33</v>
      </c>
    </row>
    <row r="17" spans="1:7" x14ac:dyDescent="0.25">
      <c r="A17">
        <v>16</v>
      </c>
      <c r="B17" t="s">
        <v>26</v>
      </c>
      <c r="C17" t="s">
        <v>147</v>
      </c>
      <c r="D17" s="2">
        <v>93.283018867924525</v>
      </c>
      <c r="E17" s="2">
        <v>246</v>
      </c>
      <c r="F17" t="s">
        <v>348</v>
      </c>
      <c r="G17" t="s">
        <v>33</v>
      </c>
    </row>
    <row r="18" spans="1:7" x14ac:dyDescent="0.25">
      <c r="A18">
        <v>17</v>
      </c>
      <c r="B18" t="s">
        <v>18</v>
      </c>
      <c r="C18" t="s">
        <v>147</v>
      </c>
      <c r="D18" s="2">
        <v>26.811</v>
      </c>
      <c r="E18" s="2">
        <v>69.849149999999995</v>
      </c>
      <c r="F18" t="s">
        <v>350</v>
      </c>
      <c r="G18" t="s">
        <v>32</v>
      </c>
    </row>
    <row r="19" spans="1:7" x14ac:dyDescent="0.25">
      <c r="A19">
        <v>18</v>
      </c>
      <c r="B19" t="s">
        <v>19</v>
      </c>
      <c r="C19" t="s">
        <v>147</v>
      </c>
      <c r="D19" s="2">
        <v>19.311</v>
      </c>
      <c r="E19" s="2">
        <v>49.974149999999995</v>
      </c>
      <c r="F19" t="s">
        <v>350</v>
      </c>
      <c r="G19" t="s">
        <v>32</v>
      </c>
    </row>
    <row r="20" spans="1:7" x14ac:dyDescent="0.25">
      <c r="A20">
        <v>19</v>
      </c>
      <c r="B20" t="s">
        <v>20</v>
      </c>
      <c r="C20" t="s">
        <v>147</v>
      </c>
      <c r="D20" s="2">
        <v>150.56100000000001</v>
      </c>
      <c r="E20" s="2">
        <v>397.78665000000001</v>
      </c>
      <c r="F20" t="s">
        <v>350</v>
      </c>
      <c r="G20" t="s">
        <v>32</v>
      </c>
    </row>
    <row r="21" spans="1:7" x14ac:dyDescent="0.25">
      <c r="A21">
        <v>20</v>
      </c>
      <c r="B21" t="s">
        <v>21</v>
      </c>
      <c r="C21" t="s">
        <v>147</v>
      </c>
      <c r="D21" s="2">
        <v>2.2484999999999999</v>
      </c>
      <c r="E21" s="2">
        <v>4.7585249999999997</v>
      </c>
      <c r="F21" t="s">
        <v>350</v>
      </c>
      <c r="G21" t="s">
        <v>32</v>
      </c>
    </row>
    <row r="22" spans="1:7" x14ac:dyDescent="0.25">
      <c r="A22">
        <v>21</v>
      </c>
      <c r="B22" t="s">
        <v>485</v>
      </c>
      <c r="C22" t="s">
        <v>147</v>
      </c>
      <c r="D22" s="2">
        <v>45</v>
      </c>
      <c r="E22" s="2">
        <v>118.05</v>
      </c>
      <c r="F22" t="s">
        <v>350</v>
      </c>
      <c r="G22" t="s">
        <v>32</v>
      </c>
    </row>
    <row r="23" spans="1:7" x14ac:dyDescent="0.25">
      <c r="A23">
        <v>22</v>
      </c>
      <c r="B23" t="s">
        <v>534</v>
      </c>
      <c r="C23" t="s">
        <v>530</v>
      </c>
      <c r="D23" s="2">
        <v>26</v>
      </c>
      <c r="E23" s="2">
        <v>67.699999999999989</v>
      </c>
      <c r="F23" t="s">
        <v>488</v>
      </c>
      <c r="G23" t="s">
        <v>487</v>
      </c>
    </row>
    <row r="24" spans="1:7" x14ac:dyDescent="0.25">
      <c r="A24">
        <v>23</v>
      </c>
      <c r="B24" t="s">
        <v>529</v>
      </c>
      <c r="C24" t="s">
        <v>530</v>
      </c>
      <c r="D24" s="2">
        <v>32.528301886792455</v>
      </c>
      <c r="E24" s="2">
        <v>85</v>
      </c>
      <c r="F24" t="s">
        <v>348</v>
      </c>
      <c r="G24" t="s">
        <v>33</v>
      </c>
    </row>
    <row r="25" spans="1:7" x14ac:dyDescent="0.25">
      <c r="A25">
        <v>24</v>
      </c>
      <c r="B25" t="s">
        <v>27</v>
      </c>
      <c r="C25" t="s">
        <v>148</v>
      </c>
      <c r="D25" s="2">
        <v>327.622641509434</v>
      </c>
      <c r="E25" s="2">
        <v>867</v>
      </c>
      <c r="F25" t="s">
        <v>348</v>
      </c>
      <c r="G25" t="s">
        <v>33</v>
      </c>
    </row>
    <row r="26" spans="1:7" x14ac:dyDescent="0.25">
      <c r="A26">
        <v>25</v>
      </c>
      <c r="B26" t="s">
        <v>28</v>
      </c>
      <c r="C26" t="s">
        <v>148</v>
      </c>
      <c r="D26" s="2">
        <v>547.62264150943395</v>
      </c>
      <c r="E26" s="2">
        <v>1450</v>
      </c>
      <c r="F26" t="s">
        <v>348</v>
      </c>
      <c r="G26" t="s">
        <v>33</v>
      </c>
    </row>
    <row r="27" spans="1:7" x14ac:dyDescent="0.25">
      <c r="A27">
        <v>26</v>
      </c>
      <c r="B27" t="s">
        <v>489</v>
      </c>
      <c r="C27" t="s">
        <v>148</v>
      </c>
      <c r="D27" s="2">
        <v>423</v>
      </c>
      <c r="E27" s="2">
        <v>1119.75</v>
      </c>
      <c r="F27" t="s">
        <v>488</v>
      </c>
      <c r="G27" t="s">
        <v>487</v>
      </c>
    </row>
    <row r="28" spans="1:7" x14ac:dyDescent="0.25">
      <c r="A28">
        <v>27</v>
      </c>
      <c r="B28" t="s">
        <v>533</v>
      </c>
      <c r="C28" t="s">
        <v>148</v>
      </c>
      <c r="D28" s="2">
        <v>330</v>
      </c>
      <c r="E28" s="2">
        <v>873.3</v>
      </c>
      <c r="F28" t="s">
        <v>486</v>
      </c>
      <c r="G28" t="s">
        <v>487</v>
      </c>
    </row>
    <row r="29" spans="1:7" x14ac:dyDescent="0.25">
      <c r="A29">
        <v>28</v>
      </c>
      <c r="B29" t="s">
        <v>22</v>
      </c>
      <c r="C29" t="s">
        <v>148</v>
      </c>
      <c r="D29" s="2">
        <v>338.06099999999998</v>
      </c>
      <c r="E29" s="2">
        <v>894.6616499999999</v>
      </c>
      <c r="F29" t="s">
        <v>350</v>
      </c>
      <c r="G29" t="s">
        <v>32</v>
      </c>
    </row>
    <row r="30" spans="1:7" x14ac:dyDescent="0.25">
      <c r="A30">
        <v>29</v>
      </c>
      <c r="B30" t="s">
        <v>23</v>
      </c>
      <c r="C30" t="s">
        <v>148</v>
      </c>
      <c r="D30" s="2">
        <v>431.81099999999998</v>
      </c>
      <c r="E30" s="2">
        <v>1143.0991499999998</v>
      </c>
      <c r="F30" t="s">
        <v>350</v>
      </c>
      <c r="G30" t="s">
        <v>32</v>
      </c>
    </row>
    <row r="31" spans="1:7" x14ac:dyDescent="0.25">
      <c r="A31">
        <v>30</v>
      </c>
      <c r="B31" t="s">
        <v>461</v>
      </c>
      <c r="C31" t="s">
        <v>148</v>
      </c>
      <c r="D31" s="2">
        <v>525.56100000000004</v>
      </c>
      <c r="E31" s="2">
        <v>1391.53665</v>
      </c>
      <c r="F31" t="s">
        <v>350</v>
      </c>
      <c r="G31" t="s">
        <v>32</v>
      </c>
    </row>
  </sheetData>
  <dataValidations count="2">
    <dataValidation type="list" allowBlank="1" showInputMessage="1" showErrorMessage="1" sqref="C2:C22 C24:C31" xr:uid="{00000000-0002-0000-0900-000000000000}">
      <formula1>"Base, Caramelo, Tostada, Melanoidina,Acida"</formula1>
    </dataValidation>
    <dataValidation type="list" allowBlank="1" showInputMessage="1" showErrorMessage="1" sqref="C23" xr:uid="{00000000-0002-0000-0900-000001000000}">
      <formula1>"Base, Caramelo, Tostada, Melanoidina, Acida"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2:G34"/>
  <sheetViews>
    <sheetView showRuler="0" view="pageLayout" zoomScale="90" zoomScaleNormal="100" zoomScalePageLayoutView="90" workbookViewId="0">
      <selection activeCell="C28" sqref="C28"/>
    </sheetView>
  </sheetViews>
  <sheetFormatPr baseColWidth="10" defaultColWidth="11.28515625" defaultRowHeight="15" x14ac:dyDescent="0.25"/>
  <cols>
    <col min="1" max="7" width="12.7109375" customWidth="1"/>
  </cols>
  <sheetData>
    <row r="2" spans="1:7" s="4" customFormat="1" ht="15.75" thickBot="1" x14ac:dyDescent="0.3">
      <c r="A2" s="37"/>
      <c r="B2" s="37"/>
      <c r="C2" s="37"/>
      <c r="D2" s="37"/>
      <c r="E2" s="37"/>
      <c r="F2" s="37"/>
      <c r="G2" s="37"/>
    </row>
    <row r="3" spans="1:7" ht="19.5" thickBot="1" x14ac:dyDescent="0.35">
      <c r="A3" s="39" t="s">
        <v>142</v>
      </c>
      <c r="B3" s="38"/>
      <c r="C3" s="38"/>
      <c r="D3" s="38"/>
      <c r="E3" s="38"/>
      <c r="F3" s="38"/>
      <c r="G3" s="38"/>
    </row>
    <row r="5" spans="1:7" ht="18.75" x14ac:dyDescent="0.3">
      <c r="C5" s="15" t="s">
        <v>39</v>
      </c>
      <c r="D5" s="44"/>
    </row>
    <row r="6" spans="1:7" x14ac:dyDescent="0.25">
      <c r="B6" s="4"/>
      <c r="C6" s="30"/>
      <c r="D6" s="4"/>
    </row>
    <row r="7" spans="1:7" x14ac:dyDescent="0.25">
      <c r="B7" s="11" t="s">
        <v>40</v>
      </c>
      <c r="C7" s="45"/>
    </row>
    <row r="8" spans="1:7" x14ac:dyDescent="0.25">
      <c r="C8" s="8"/>
      <c r="D8" s="30"/>
    </row>
    <row r="9" spans="1:7" x14ac:dyDescent="0.25">
      <c r="B9" s="11" t="s">
        <v>0</v>
      </c>
      <c r="C9" s="31"/>
      <c r="D9" s="7"/>
      <c r="E9" s="7"/>
    </row>
    <row r="10" spans="1:7" x14ac:dyDescent="0.25">
      <c r="B10" s="28" t="s">
        <v>128</v>
      </c>
      <c r="C10" s="45"/>
      <c r="E10" s="35" t="s">
        <v>44</v>
      </c>
      <c r="F10" s="70">
        <f>IF(C11=0,0,-616.868+(1111.14*C11)-(630.272*POWER(C11,2))+(135.997*POWER(C11,3)))</f>
        <v>0</v>
      </c>
    </row>
    <row r="11" spans="1:7" x14ac:dyDescent="0.25">
      <c r="B11" s="29" t="s">
        <v>126</v>
      </c>
      <c r="C11" s="52"/>
      <c r="E11" s="29" t="s">
        <v>45</v>
      </c>
      <c r="F11" s="71">
        <f>IF(F10=0,0,0.9974*POWER((POWER(F10,-1)-0.00382),-1))</f>
        <v>0</v>
      </c>
    </row>
    <row r="12" spans="1:7" x14ac:dyDescent="0.25">
      <c r="E12" s="32" t="s">
        <v>129</v>
      </c>
      <c r="F12" s="71">
        <f>C10*F11/100</f>
        <v>0</v>
      </c>
    </row>
    <row r="13" spans="1:7" x14ac:dyDescent="0.25">
      <c r="F13" s="72"/>
    </row>
    <row r="14" spans="1:7" x14ac:dyDescent="0.25">
      <c r="B14" s="11" t="s">
        <v>1</v>
      </c>
      <c r="C14" s="7"/>
      <c r="D14" s="7"/>
      <c r="E14" s="7"/>
      <c r="F14" s="73"/>
    </row>
    <row r="15" spans="1:7" x14ac:dyDescent="0.25">
      <c r="B15" s="29" t="s">
        <v>127</v>
      </c>
      <c r="C15" s="52"/>
      <c r="E15" s="28" t="s">
        <v>128</v>
      </c>
      <c r="F15" s="74">
        <f>IF(F17=0,0,F12*100/F17)</f>
        <v>0</v>
      </c>
    </row>
    <row r="16" spans="1:7" x14ac:dyDescent="0.25">
      <c r="D16" s="4"/>
      <c r="E16" s="29" t="s">
        <v>136</v>
      </c>
      <c r="F16" s="70">
        <f>IF(C15=0,0,-616.868+(1111.14*C15)-(630.272*POWER(C15,2))+(135.997*POWER(C15,3)))</f>
        <v>0</v>
      </c>
    </row>
    <row r="17" spans="2:7" x14ac:dyDescent="0.25">
      <c r="E17" s="29" t="s">
        <v>45</v>
      </c>
      <c r="F17" s="70">
        <f>IF(F16=0,0,0.9974*POWER((POWER(F16,-1)-0.00382),-1))</f>
        <v>0</v>
      </c>
    </row>
    <row r="18" spans="2:7" x14ac:dyDescent="0.25">
      <c r="B18" s="33" t="s">
        <v>6</v>
      </c>
      <c r="C18" s="7"/>
      <c r="D18" s="7"/>
      <c r="E18" s="7"/>
      <c r="F18" s="75"/>
    </row>
    <row r="19" spans="2:7" x14ac:dyDescent="0.25">
      <c r="E19" s="35" t="s">
        <v>130</v>
      </c>
      <c r="F19" s="76">
        <f>IF(C7=0,0,(C10-F15)/C7)</f>
        <v>0</v>
      </c>
    </row>
    <row r="20" spans="2:7" x14ac:dyDescent="0.25">
      <c r="E20" s="29" t="s">
        <v>131</v>
      </c>
      <c r="F20" s="70">
        <f>IF(C7=0,0,(C10-F15)/(C7/60))</f>
        <v>0</v>
      </c>
    </row>
    <row r="21" spans="2:7" x14ac:dyDescent="0.25">
      <c r="E21" s="29" t="s">
        <v>132</v>
      </c>
      <c r="F21" s="77">
        <f>IF(C10=0,0,F20/C10)</f>
        <v>0</v>
      </c>
      <c r="G21" s="34"/>
    </row>
    <row r="22" spans="2:7" x14ac:dyDescent="0.25">
      <c r="D22" s="4"/>
      <c r="F22" s="72"/>
    </row>
    <row r="23" spans="2:7" x14ac:dyDescent="0.25">
      <c r="B23" s="33" t="s">
        <v>3</v>
      </c>
      <c r="C23" s="7"/>
      <c r="D23" s="7"/>
      <c r="E23" s="7"/>
      <c r="F23" s="72"/>
    </row>
    <row r="24" spans="2:7" x14ac:dyDescent="0.25">
      <c r="B24" s="29" t="s">
        <v>135</v>
      </c>
      <c r="C24" s="45"/>
      <c r="E24" s="35" t="s">
        <v>133</v>
      </c>
      <c r="F24" s="70">
        <f>IF(C24=0,0,F12/C24)</f>
        <v>0</v>
      </c>
    </row>
    <row r="25" spans="2:7" x14ac:dyDescent="0.25">
      <c r="E25" s="29" t="s">
        <v>134</v>
      </c>
      <c r="F25" s="70">
        <f>F24*100</f>
        <v>0</v>
      </c>
    </row>
    <row r="26" spans="2:7" x14ac:dyDescent="0.25">
      <c r="F26" s="78"/>
    </row>
    <row r="27" spans="2:7" x14ac:dyDescent="0.25">
      <c r="B27" s="36" t="s">
        <v>4</v>
      </c>
      <c r="C27" s="7"/>
      <c r="D27" s="7"/>
      <c r="F27" s="79"/>
    </row>
    <row r="28" spans="2:7" x14ac:dyDescent="0.25">
      <c r="B28" s="35" t="s">
        <v>137</v>
      </c>
      <c r="C28" s="52"/>
      <c r="E28" s="29" t="s">
        <v>138</v>
      </c>
      <c r="F28" s="70">
        <f>IF(C28=0,0,-616.868+(1111.14*C28)-(630.272*POWER(C28,2))+(135.997*POWER(C28,3)))</f>
        <v>0</v>
      </c>
    </row>
    <row r="29" spans="2:7" x14ac:dyDescent="0.25">
      <c r="E29" s="29" t="s">
        <v>84</v>
      </c>
      <c r="F29" s="70">
        <f>IF(F28=0,0,0.22+0.001*F28)</f>
        <v>0</v>
      </c>
    </row>
    <row r="30" spans="2:7" x14ac:dyDescent="0.25">
      <c r="E30" s="29" t="s">
        <v>139</v>
      </c>
      <c r="F30" s="70">
        <f>(F29*F16+F28)/(1+F29)</f>
        <v>0</v>
      </c>
    </row>
    <row r="31" spans="2:7" x14ac:dyDescent="0.25">
      <c r="E31" s="29" t="s">
        <v>140</v>
      </c>
      <c r="F31" s="77">
        <f>IF(F16=0,0,(F16-F28)/F16)</f>
        <v>0</v>
      </c>
    </row>
    <row r="32" spans="2:7" x14ac:dyDescent="0.25">
      <c r="E32" s="29" t="s">
        <v>141</v>
      </c>
      <c r="F32" s="77">
        <f>IF(F16=0,0,(F16-F30)/F16)</f>
        <v>0</v>
      </c>
    </row>
    <row r="33" spans="5:6" x14ac:dyDescent="0.25">
      <c r="E33" s="29" t="s">
        <v>86</v>
      </c>
      <c r="F33" s="70">
        <f>((F16-F30)/(2.0665-0.010665*F16))</f>
        <v>0</v>
      </c>
    </row>
    <row r="34" spans="5:6" x14ac:dyDescent="0.25">
      <c r="E34" s="29" t="s">
        <v>87</v>
      </c>
      <c r="F34" s="70">
        <f>F33*(C28/0.794)</f>
        <v>0</v>
      </c>
    </row>
  </sheetData>
  <sheetProtection algorithmName="SHA-512" hashValue="+1cigygXgqdUOstv1b3aymVAzYQeS6ZpGDpdjMysGHhNq0ZxTOWPM8VnMc37JzUgFdlNIWE4DEW/pJDlDvY3Gg==" saltValue="fzy+o9B8teoNfcO+Whn4pg==" spinCount="100000" sheet="1" objects="1" scenarios="1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  <headerFooter>
    <oddHeader>&amp;C&amp;G</oddHeader>
    <oddFooter>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2:P87"/>
  <sheetViews>
    <sheetView tabSelected="1" showRuler="0" view="pageLayout" zoomScale="90" zoomScaleNormal="100" zoomScalePageLayoutView="90" workbookViewId="0">
      <selection activeCell="C7" sqref="C7"/>
    </sheetView>
  </sheetViews>
  <sheetFormatPr baseColWidth="10" defaultRowHeight="15" x14ac:dyDescent="0.25"/>
  <cols>
    <col min="1" max="1" width="17.85546875" customWidth="1"/>
    <col min="2" max="2" width="11.5703125" customWidth="1"/>
    <col min="3" max="3" width="10.42578125" customWidth="1"/>
    <col min="4" max="4" width="9.5703125" customWidth="1"/>
    <col min="5" max="5" width="10.140625" customWidth="1"/>
    <col min="6" max="6" width="8.28515625" customWidth="1"/>
    <col min="7" max="7" width="9.7109375" customWidth="1"/>
    <col min="8" max="8" width="10.85546875" customWidth="1"/>
    <col min="9" max="9" width="11.85546875" customWidth="1"/>
    <col min="11" max="11" width="11.85546875" bestFit="1" customWidth="1"/>
    <col min="17" max="17" width="12.140625" bestFit="1" customWidth="1"/>
  </cols>
  <sheetData>
    <row r="2" spans="1:12" ht="15.75" thickBot="1" x14ac:dyDescent="0.3">
      <c r="A2" s="4"/>
      <c r="B2" s="4"/>
      <c r="C2" s="4"/>
      <c r="D2" s="4"/>
      <c r="E2" s="4"/>
      <c r="F2" s="4"/>
      <c r="G2" s="4"/>
      <c r="H2" s="4"/>
    </row>
    <row r="3" spans="1:12" s="41" customFormat="1" ht="20.25" thickTop="1" thickBot="1" x14ac:dyDescent="0.35">
      <c r="A3" s="42" t="s">
        <v>143</v>
      </c>
      <c r="B3" s="42"/>
      <c r="C3" s="42"/>
      <c r="D3" s="42"/>
      <c r="E3" s="42"/>
      <c r="F3" s="42"/>
      <c r="G3" s="42"/>
      <c r="H3" s="42"/>
    </row>
    <row r="4" spans="1:12" ht="15.75" thickTop="1" x14ac:dyDescent="0.25"/>
    <row r="5" spans="1:12" ht="18.75" x14ac:dyDescent="0.3">
      <c r="B5" s="15" t="s">
        <v>39</v>
      </c>
      <c r="C5" s="44"/>
    </row>
    <row r="6" spans="1:12" x14ac:dyDescent="0.25">
      <c r="B6" s="16" t="s">
        <v>74</v>
      </c>
      <c r="C6" s="73"/>
      <c r="G6" s="377"/>
    </row>
    <row r="7" spans="1:12" x14ac:dyDescent="0.25">
      <c r="B7" s="12" t="s">
        <v>37</v>
      </c>
      <c r="C7" s="478"/>
      <c r="F7" s="13" t="s">
        <v>40</v>
      </c>
      <c r="G7" s="46">
        <v>0</v>
      </c>
      <c r="J7" s="62"/>
    </row>
    <row r="8" spans="1:12" x14ac:dyDescent="0.25">
      <c r="B8" s="11" t="s">
        <v>38</v>
      </c>
      <c r="C8" s="479">
        <v>0</v>
      </c>
      <c r="F8" s="13" t="s">
        <v>41</v>
      </c>
      <c r="G8" s="47">
        <v>0</v>
      </c>
    </row>
    <row r="9" spans="1:12" x14ac:dyDescent="0.25">
      <c r="B9" s="11" t="s">
        <v>145</v>
      </c>
      <c r="C9" s="45">
        <v>0</v>
      </c>
    </row>
    <row r="11" spans="1:12" x14ac:dyDescent="0.25">
      <c r="A11" s="12" t="s">
        <v>35</v>
      </c>
      <c r="B11" s="24">
        <f>G36</f>
        <v>0</v>
      </c>
      <c r="D11" s="12" t="s">
        <v>36</v>
      </c>
      <c r="E11" s="24">
        <f>D76</f>
        <v>0</v>
      </c>
      <c r="F11" s="1"/>
      <c r="G11" s="12" t="s">
        <v>91</v>
      </c>
      <c r="H11" s="24">
        <f>D81</f>
        <v>0</v>
      </c>
    </row>
    <row r="12" spans="1:12" x14ac:dyDescent="0.25">
      <c r="A12" s="12" t="s">
        <v>42</v>
      </c>
      <c r="B12" s="25">
        <f>G35</f>
        <v>0</v>
      </c>
      <c r="D12" s="12" t="s">
        <v>43</v>
      </c>
      <c r="E12" s="25">
        <f>D77</f>
        <v>0</v>
      </c>
      <c r="F12" s="1"/>
      <c r="G12" s="12" t="s">
        <v>92</v>
      </c>
      <c r="H12" s="25">
        <f>Receta!$H$70</f>
        <v>0</v>
      </c>
      <c r="J12" s="62"/>
    </row>
    <row r="13" spans="1:12" x14ac:dyDescent="0.25">
      <c r="A13" s="12"/>
      <c r="B13" s="25"/>
      <c r="D13" s="12"/>
      <c r="E13" s="25"/>
      <c r="F13" s="1"/>
      <c r="G13" s="12"/>
      <c r="H13" s="25"/>
    </row>
    <row r="14" spans="1:12" ht="18.75" x14ac:dyDescent="0.3">
      <c r="A14" s="43" t="s">
        <v>77</v>
      </c>
      <c r="B14" s="25"/>
      <c r="D14" s="12"/>
      <c r="E14" s="25"/>
      <c r="F14" s="1"/>
      <c r="G14" s="12"/>
      <c r="H14" s="25"/>
      <c r="L14" s="62"/>
    </row>
    <row r="15" spans="1:12" ht="31.5" customHeight="1" x14ac:dyDescent="0.25">
      <c r="A15" s="127" t="s">
        <v>12</v>
      </c>
      <c r="B15" s="126" t="s">
        <v>34</v>
      </c>
      <c r="C15" s="126" t="s">
        <v>13</v>
      </c>
      <c r="D15" s="127" t="s">
        <v>5</v>
      </c>
      <c r="E15" s="127" t="s">
        <v>78</v>
      </c>
      <c r="F15" s="127" t="s">
        <v>540</v>
      </c>
      <c r="G15" s="127" t="s">
        <v>541</v>
      </c>
      <c r="H15" s="126" t="s">
        <v>15</v>
      </c>
      <c r="I15" s="489" t="s">
        <v>538</v>
      </c>
      <c r="J15" s="489" t="s">
        <v>14</v>
      </c>
    </row>
    <row r="16" spans="1:12" x14ac:dyDescent="0.25">
      <c r="A16" s="378"/>
      <c r="B16" s="128" t="str">
        <f>IFERROR(INDEX('Maltas y Lúpulos'!C:C,MATCH(Receta!$A16,'Maltas y Lúpulos'!B:B,0)),"")</f>
        <v/>
      </c>
      <c r="C16" s="379">
        <v>0</v>
      </c>
      <c r="D16" s="130">
        <f>IF($C$31=0,0,Receta!$C16/Receta!$C$31)</f>
        <v>0</v>
      </c>
      <c r="E16" s="132">
        <f t="shared" ref="E16:E30" si="0">(C16-(C16*0.05))*$G$8</f>
        <v>0</v>
      </c>
      <c r="F16" s="133">
        <f>IF(OR($C$9=0, $C$31=0),0,IF(Receta!$B16="Base",($C16*(2.205*0.28)*$J16),IF(Receta!$B16="Caramelo",($C16*2.205*((0.21*$J16)+2.5)),IF(Receta!$B16="Tostada",($C16*2.205*38),IF(tbmaltused[[#This Row],[Tipo]]="Melanoidina",(tbmaltused[[#This Row],[Peso '[Kg']]]*65),IF(Receta!$B16="Acida",($C16*2.205*95),0)))))/($C$9*Receta!$C$31))</f>
        <v>0</v>
      </c>
      <c r="G16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16" s="134">
        <f>IF($C$8=0,0,((I16*C16*2.20462)/($C$8/3.78541)))</f>
        <v>0</v>
      </c>
      <c r="I16" s="131">
        <f>IFERROR(INDEX('Maltas y Lúpulos'!E:E,MATCH(Receta!$A16,'Maltas y Lúpulos'!B:B,0)),0)</f>
        <v>0</v>
      </c>
      <c r="J16" s="131">
        <f>IFERROR(INDEX('Maltas y Lúpulos'!$D:$D,MATCH(Receta!$A16,'Maltas y Lúpulos'!$B:$B,0)),0)</f>
        <v>0</v>
      </c>
    </row>
    <row r="17" spans="1:16" x14ac:dyDescent="0.25">
      <c r="A17" s="378"/>
      <c r="B17" s="128" t="str">
        <f>IFERROR(INDEX('Maltas y Lúpulos'!C:C,MATCH(Receta!$A17,'Maltas y Lúpulos'!B:B,0)),"")</f>
        <v/>
      </c>
      <c r="C17" s="379">
        <v>0</v>
      </c>
      <c r="D17" s="130">
        <f>IF($C$31=0,0,Receta!$C17/Receta!$C$31)</f>
        <v>0</v>
      </c>
      <c r="E17" s="129">
        <f t="shared" si="0"/>
        <v>0</v>
      </c>
      <c r="F17" s="133">
        <f>IF(OR($C$9=0, $C$31=0),0,IF(Receta!$B17="Base",($C17*(2.205*0.28)*$J17),IF(Receta!$B17="Caramelo",($C17*2.205*((0.21*$J17)+2.5)),IF(Receta!$B17="Tostada",($C17*2.205*38),IF(tbmaltused[[#This Row],[Tipo]]="Melanoidina",(tbmaltused[[#This Row],[Peso '[Kg']]]*65),IF(Receta!$B17="Acida",($C17*2.205*95),0)))))/($C$9*Receta!$C$31))</f>
        <v>0</v>
      </c>
      <c r="G17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17" s="131">
        <f>IF($C$8=0,0,((I17*C17*2.20462)/($C$8/3.78541)))</f>
        <v>0</v>
      </c>
      <c r="I17" s="131">
        <f>IFERROR(INDEX('Maltas y Lúpulos'!E:E,MATCH(Receta!$A17,'Maltas y Lúpulos'!B:B,0)),0)</f>
        <v>0</v>
      </c>
      <c r="J17" s="131">
        <f>IFERROR(INDEX('Maltas y Lúpulos'!$D:$D,MATCH(Receta!$A17,'Maltas y Lúpulos'!$B:$B,0)),0)</f>
        <v>0</v>
      </c>
    </row>
    <row r="18" spans="1:16" x14ac:dyDescent="0.25">
      <c r="A18" s="378"/>
      <c r="B18" s="128" t="str">
        <f>IFERROR(INDEX('Maltas y Lúpulos'!C:C,MATCH(Receta!$A18,'Maltas y Lúpulos'!B:B,0)),"")</f>
        <v/>
      </c>
      <c r="C18" s="379">
        <v>0</v>
      </c>
      <c r="D18" s="130">
        <f>IF($C$31=0,0,Receta!$C18/Receta!$C$31)</f>
        <v>0</v>
      </c>
      <c r="E18" s="129">
        <f t="shared" si="0"/>
        <v>0</v>
      </c>
      <c r="F18" s="133">
        <f>IF(OR($C$9=0, $C$31=0),0,IF(Receta!$B18="Base",($C18*(2.205*0.28)*$J18),IF(Receta!$B18="Caramelo",($C18*2.205*((0.21*$J18)+2.5)),IF(Receta!$B18="Tostada",($C18*2.205*38),IF(tbmaltused[[#This Row],[Tipo]]="Melanoidina",(tbmaltused[[#This Row],[Peso '[Kg']]]*65),IF(Receta!$B18="Acida",($C18*2.205*95),0)))))/($C$9*Receta!$C$31))</f>
        <v>0</v>
      </c>
      <c r="G18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18" s="131">
        <f>IF($C$8=0,0,((I18*C18*2.20462)/($C$8/3.78541)))</f>
        <v>0</v>
      </c>
      <c r="I18" s="131">
        <f>IFERROR(INDEX('Maltas y Lúpulos'!E:E,MATCH(Receta!$A18,'Maltas y Lúpulos'!B:B,0)),0)</f>
        <v>0</v>
      </c>
      <c r="J18" s="131">
        <f>IFERROR(INDEX('Maltas y Lúpulos'!$D:$D,MATCH(Receta!$A18,'Maltas y Lúpulos'!$B:$B,0)),0)</f>
        <v>0</v>
      </c>
    </row>
    <row r="19" spans="1:16" x14ac:dyDescent="0.25">
      <c r="A19" s="378"/>
      <c r="B19" s="128" t="str">
        <f>IFERROR(INDEX('Maltas y Lúpulos'!C:C,MATCH(Receta!$A19,'Maltas y Lúpulos'!B:B,0)),"")</f>
        <v/>
      </c>
      <c r="C19" s="379">
        <v>0</v>
      </c>
      <c r="D19" s="130">
        <f>IF($C$31=0,0,Receta!$C19/Receta!$C$31)</f>
        <v>0</v>
      </c>
      <c r="E19" s="129">
        <f t="shared" si="0"/>
        <v>0</v>
      </c>
      <c r="F19" s="133">
        <f>IF(OR($C$9=0, $C$31=0),0,IF(Receta!$B19="Base",($C19*(2.205*0.28)*$J19),IF(Receta!$B19="Caramelo",($C19*2.205*((0.21*$J19)+2.5)),IF(Receta!$B19="Tostada",($C19*2.205*38),IF(tbmaltused[[#This Row],[Tipo]]="Melanoidina",(tbmaltused[[#This Row],[Peso '[Kg']]]*65),IF(Receta!$B19="Acida",($C19*2.205*95),0)))))/($C$9*Receta!$C$31))</f>
        <v>0</v>
      </c>
      <c r="G19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19" s="131">
        <f>IF($C$8=0,0,((I19*C19*2.20462)/($C$8/3.78541)))</f>
        <v>0</v>
      </c>
      <c r="I19" s="131">
        <f>IFERROR(INDEX('Maltas y Lúpulos'!E:E,MATCH(Receta!$A19,'Maltas y Lúpulos'!B:B,0)),0)</f>
        <v>0</v>
      </c>
      <c r="J19" s="131">
        <f>IFERROR(INDEX('Maltas y Lúpulos'!$D:$D,MATCH(Receta!$A19,'Maltas y Lúpulos'!$B:$B,0)),0)</f>
        <v>0</v>
      </c>
    </row>
    <row r="20" spans="1:16" x14ac:dyDescent="0.25">
      <c r="A20" s="378"/>
      <c r="B20" s="128" t="str">
        <f>IFERROR(INDEX('Maltas y Lúpulos'!C:C,MATCH(Receta!$A20,'Maltas y Lúpulos'!B:B,0)),"")</f>
        <v/>
      </c>
      <c r="C20" s="379">
        <v>0</v>
      </c>
      <c r="D20" s="130">
        <f>IF($C$31=0,0,Receta!$C20/Receta!$C$31)</f>
        <v>0</v>
      </c>
      <c r="E20" s="129">
        <f t="shared" si="0"/>
        <v>0</v>
      </c>
      <c r="F20" s="133">
        <f>IF(OR($C$9=0, $C$31=0),0,IF(Receta!$B20="Base",($C20*(2.205*0.28)*$J20),IF(Receta!$B20="Caramelo",($C20*2.205*((0.21*$J20)+2.5)),IF(Receta!$B20="Tostada",($C20*2.205*38),IF(tbmaltused[[#This Row],[Tipo]]="Melanoidina",(tbmaltused[[#This Row],[Peso '[Kg']]]*65),IF(Receta!$B20="Acida",($C20*2.205*95),0)))))/($C$9*Receta!$C$31))</f>
        <v>0</v>
      </c>
      <c r="G20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20" s="131">
        <f>IF($C$8=0,0,((I20*C20*2.20462)/($C$8/3.78541)))</f>
        <v>0</v>
      </c>
      <c r="I20" s="131">
        <f>IFERROR(INDEX('Maltas y Lúpulos'!E:E,MATCH(Receta!$A20,'Maltas y Lúpulos'!B:B,0)),0)</f>
        <v>0</v>
      </c>
      <c r="J20" s="131">
        <f>IFERROR(INDEX('Maltas y Lúpulos'!$D:$D,MATCH(Receta!$A20,'Maltas y Lúpulos'!$B:$B,0)),0)</f>
        <v>0</v>
      </c>
    </row>
    <row r="21" spans="1:16" x14ac:dyDescent="0.25">
      <c r="A21" s="378"/>
      <c r="B21" s="128" t="str">
        <f>IFERROR(INDEX('Maltas y Lúpulos'!C:C,MATCH(Receta!$A21,'Maltas y Lúpulos'!B:B,0)),"")</f>
        <v/>
      </c>
      <c r="C21" s="379">
        <v>0</v>
      </c>
      <c r="D21" s="130">
        <f>IF($C$31=0,0,Receta!$C21/Receta!$C$31)</f>
        <v>0</v>
      </c>
      <c r="E21" s="129">
        <f t="shared" si="0"/>
        <v>0</v>
      </c>
      <c r="F21" s="133">
        <f>IF(OR($C$9=0, $C$31=0),0,IF(Receta!$B21="Base",($C21*(2.205*0.28)*$J21),IF(Receta!$B21="Caramelo",($C21*2.205*((0.21*$J21)+2.5)),IF(Receta!$B21="Tostada",($C21*2.205*38),IF(tbmaltused[[#This Row],[Tipo]]="Melanoidina",(tbmaltused[[#This Row],[Peso '[Kg']]]*65),IF(Receta!$B21="Acida",($C21*2.205*95),0)))))/($C$9*Receta!$C$31))</f>
        <v>0</v>
      </c>
      <c r="G21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21" s="131">
        <f>IF($C$8=0,0,((I21*C21*2.20462)/($C$8/3.78541)))</f>
        <v>0</v>
      </c>
      <c r="I21" s="131">
        <f>IFERROR(INDEX('Maltas y Lúpulos'!E:E,MATCH(Receta!$A21,'Maltas y Lúpulos'!B:B,0)),0)</f>
        <v>0</v>
      </c>
      <c r="J21" s="131">
        <f>IFERROR(INDEX('Maltas y Lúpulos'!$D:$D,MATCH(Receta!$A21,'Maltas y Lúpulos'!$B:$B,0)),0)</f>
        <v>0</v>
      </c>
    </row>
    <row r="22" spans="1:16" x14ac:dyDescent="0.25">
      <c r="A22" s="378"/>
      <c r="B22" s="128" t="str">
        <f>IFERROR(INDEX('Maltas y Lúpulos'!C:C,MATCH(Receta!$A22,'Maltas y Lúpulos'!B:B,0)),"")</f>
        <v/>
      </c>
      <c r="C22" s="379">
        <v>0</v>
      </c>
      <c r="D22" s="130">
        <f>IF($C$31=0,0,Receta!$C22/Receta!$C$31)</f>
        <v>0</v>
      </c>
      <c r="E22" s="129">
        <f t="shared" si="0"/>
        <v>0</v>
      </c>
      <c r="F22" s="133">
        <f>IF(OR($C$9=0, $C$31=0),0,IF(Receta!$B22="Base",($C22*(2.205*0.28)*$J22),IF(Receta!$B22="Caramelo",($C22*2.205*((0.21*$J22)+2.5)),IF(Receta!$B22="Tostada",($C22*2.205*38),IF(tbmaltused[[#This Row],[Tipo]]="Melanoidina",(tbmaltused[[#This Row],[Peso '[Kg']]]*65),IF(Receta!$B22="Acida",($C22*2.205*95),0)))))/($C$9*Receta!$C$31))</f>
        <v>0</v>
      </c>
      <c r="G22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22" s="131">
        <f>IF($C$8=0,0,((I22*C22*2.20462)/($C$8/3.78541)))</f>
        <v>0</v>
      </c>
      <c r="I22" s="131">
        <f>IFERROR(INDEX('Maltas y Lúpulos'!E:E,MATCH(Receta!$A22,'Maltas y Lúpulos'!B:B,0)),0)</f>
        <v>0</v>
      </c>
      <c r="J22" s="131">
        <f>IFERROR(INDEX('Maltas y Lúpulos'!$D:$D,MATCH(Receta!$A22,'Maltas y Lúpulos'!$B:$B,0)),0)</f>
        <v>0</v>
      </c>
    </row>
    <row r="23" spans="1:16" x14ac:dyDescent="0.25">
      <c r="A23" s="378"/>
      <c r="B23" s="128" t="str">
        <f>IFERROR(INDEX('Maltas y Lúpulos'!C:C,MATCH(Receta!$A23,'Maltas y Lúpulos'!B:B,0)),"")</f>
        <v/>
      </c>
      <c r="C23" s="379">
        <v>0</v>
      </c>
      <c r="D23" s="130">
        <f>IF($C$31=0,0,Receta!$C23/Receta!$C$31)</f>
        <v>0</v>
      </c>
      <c r="E23" s="129">
        <f t="shared" si="0"/>
        <v>0</v>
      </c>
      <c r="F23" s="133">
        <f>IF(OR($C$9=0, $C$31=0),0,IF(Receta!$B23="Base",($C23*(2.205*0.28)*$J23),IF(Receta!$B23="Caramelo",($C23*2.205*((0.21*$J23)+2.5)),IF(Receta!$B23="Tostada",($C23*2.205*38),IF(tbmaltused[[#This Row],[Tipo]]="Melanoidina",(tbmaltused[[#This Row],[Peso '[Kg']]]*65),IF(Receta!$B23="Acida",($C23*2.205*95),0)))))/($C$9*Receta!$C$31))</f>
        <v>0</v>
      </c>
      <c r="G23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23" s="131">
        <f>IF($C$8=0,0,((I23*C23*2.20462)/($C$8/3.78541)))</f>
        <v>0</v>
      </c>
      <c r="I23" s="131">
        <f>IFERROR(INDEX('Maltas y Lúpulos'!E:E,MATCH(Receta!$A23,'Maltas y Lúpulos'!B:B,0)),0)</f>
        <v>0</v>
      </c>
      <c r="J23" s="131">
        <f>IFERROR(INDEX('Maltas y Lúpulos'!$D:$D,MATCH(Receta!$A23,'Maltas y Lúpulos'!$B:$B,0)),0)</f>
        <v>0</v>
      </c>
    </row>
    <row r="24" spans="1:16" x14ac:dyDescent="0.25">
      <c r="A24" s="378"/>
      <c r="B24" s="128" t="str">
        <f>IFERROR(INDEX('Maltas y Lúpulos'!C:C,MATCH(Receta!$A24,'Maltas y Lúpulos'!B:B,0)),"")</f>
        <v/>
      </c>
      <c r="C24" s="379">
        <v>0</v>
      </c>
      <c r="D24" s="130">
        <f>IF($C$31=0,0,Receta!$C24/Receta!$C$31)</f>
        <v>0</v>
      </c>
      <c r="E24" s="129">
        <f t="shared" si="0"/>
        <v>0</v>
      </c>
      <c r="F24" s="133">
        <f>IF(OR($C$9=0, $C$31=0),0,IF(Receta!$B24="Base",($C24*(2.205*0.28)*$J24),IF(Receta!$B24="Caramelo",($C24*2.205*((0.21*$J24)+2.5)),IF(Receta!$B24="Tostada",($C24*2.205*38),IF(tbmaltused[[#This Row],[Tipo]]="Melanoidina",(tbmaltused[[#This Row],[Peso '[Kg']]]*65),IF(Receta!$B24="Acida",($C24*2.205*95),0)))))/($C$9*Receta!$C$31))</f>
        <v>0</v>
      </c>
      <c r="G24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24" s="131">
        <f>IF($C$8=0,0,((I24*C24*2.20462)/($C$8/3.78541)))</f>
        <v>0</v>
      </c>
      <c r="I24" s="131">
        <f>IFERROR(INDEX('Maltas y Lúpulos'!E:E,MATCH(Receta!$A24,'Maltas y Lúpulos'!B:B,0)),0)</f>
        <v>0</v>
      </c>
      <c r="J24" s="131">
        <f>IFERROR(INDEX('Maltas y Lúpulos'!$D:$D,MATCH(Receta!$A24,'Maltas y Lúpulos'!$B:$B,0)),0)</f>
        <v>0</v>
      </c>
    </row>
    <row r="25" spans="1:16" x14ac:dyDescent="0.25">
      <c r="A25" s="378"/>
      <c r="B25" s="128" t="str">
        <f>IFERROR(INDEX('Maltas y Lúpulos'!C:C,MATCH(Receta!$A25,'Maltas y Lúpulos'!B:B,0)),"")</f>
        <v/>
      </c>
      <c r="C25" s="379">
        <v>0</v>
      </c>
      <c r="D25" s="130">
        <f>IF($C$31=0,0,Receta!$C25/Receta!$C$31)</f>
        <v>0</v>
      </c>
      <c r="E25" s="129">
        <f t="shared" si="0"/>
        <v>0</v>
      </c>
      <c r="F25" s="133">
        <f>IF(OR($C$9=0, $C$31=0),0,IF(Receta!$B25="Base",($C25*(2.205*0.28)*$J25),IF(Receta!$B25="Caramelo",($C25*2.205*((0.21*$J25)+2.5)),IF(Receta!$B25="Tostada",($C25*2.205*38),IF(tbmaltused[[#This Row],[Tipo]]="Melanoidina",(tbmaltused[[#This Row],[Peso '[Kg']]]*65),IF(Receta!$B25="Acida",($C25*2.205*95),0)))))/($C$9*Receta!$C$31))</f>
        <v>0</v>
      </c>
      <c r="G25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25" s="131">
        <f>IF($C$8=0,0,((I25*C25*2.20462)/($C$8/3.78541)))</f>
        <v>0</v>
      </c>
      <c r="I25" s="131">
        <f>IFERROR(INDEX('Maltas y Lúpulos'!E:E,MATCH(Receta!$A25,'Maltas y Lúpulos'!B:B,0)),0)</f>
        <v>0</v>
      </c>
      <c r="J25" s="131">
        <f>IFERROR(INDEX('Maltas y Lúpulos'!$D:$D,MATCH(Receta!$A25,'Maltas y Lúpulos'!$B:$B,0)),0)</f>
        <v>0</v>
      </c>
    </row>
    <row r="26" spans="1:16" x14ac:dyDescent="0.25">
      <c r="A26" s="378"/>
      <c r="B26" s="128" t="str">
        <f>IFERROR(INDEX('Maltas y Lúpulos'!C:C,MATCH(Receta!$A26,'Maltas y Lúpulos'!B:B,0)),"")</f>
        <v/>
      </c>
      <c r="C26" s="379">
        <v>0</v>
      </c>
      <c r="D26" s="130">
        <f>IF($C$31=0,0,Receta!$C26/Receta!$C$31)</f>
        <v>0</v>
      </c>
      <c r="E26" s="129">
        <f t="shared" si="0"/>
        <v>0</v>
      </c>
      <c r="F26" s="133">
        <f>IF(OR($C$9=0, $C$31=0),0,IF(Receta!$B26="Base",($C26*(2.205*0.28)*$J26),IF(Receta!$B26="Caramelo",($C26*2.205*((0.21*$J26)+2.5)),IF(Receta!$B26="Tostada",($C26*2.205*38),IF(tbmaltused[[#This Row],[Tipo]]="Melanoidina",(tbmaltused[[#This Row],[Peso '[Kg']]]*65),IF(Receta!$B26="Acida",($C26*2.205*95),0)))))/($C$9*Receta!$C$31))</f>
        <v>0</v>
      </c>
      <c r="G26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26" s="131">
        <f>IF($C$8=0,0,((I26*C26*2.20462)/($C$8/3.78541)))</f>
        <v>0</v>
      </c>
      <c r="I26" s="131">
        <f>IFERROR(INDEX('Maltas y Lúpulos'!E:E,MATCH(Receta!$A26,'Maltas y Lúpulos'!B:B,0)),0)</f>
        <v>0</v>
      </c>
      <c r="J26" s="131">
        <f>IFERROR(INDEX('Maltas y Lúpulos'!$D:$D,MATCH(Receta!$A26,'Maltas y Lúpulos'!$B:$B,0)),0)</f>
        <v>0</v>
      </c>
    </row>
    <row r="27" spans="1:16" x14ac:dyDescent="0.25">
      <c r="A27" s="378"/>
      <c r="B27" s="128" t="str">
        <f>IFERROR(INDEX('Maltas y Lúpulos'!C:C,MATCH(Receta!$A27,'Maltas y Lúpulos'!B:B,0)),"")</f>
        <v/>
      </c>
      <c r="C27" s="379">
        <v>0</v>
      </c>
      <c r="D27" s="130">
        <f>IF($C$31=0,0,Receta!$C27/Receta!$C$31)</f>
        <v>0</v>
      </c>
      <c r="E27" s="129">
        <f t="shared" si="0"/>
        <v>0</v>
      </c>
      <c r="F27" s="133">
        <f>IF(OR($C$9=0, $C$31=0),0,IF(Receta!$B27="Base",($C27*(2.205*0.28)*$J27),IF(Receta!$B27="Caramelo",($C27*2.205*((0.21*$J27)+2.5)),IF(Receta!$B27="Tostada",($C27*2.205*38),IF(tbmaltused[[#This Row],[Tipo]]="Melanoidina",(tbmaltused[[#This Row],[Peso '[Kg']]]*65),IF(Receta!$B27="Acida",($C27*2.205*95),0)))))/($C$9*Receta!$C$31))</f>
        <v>0</v>
      </c>
      <c r="G27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27" s="131">
        <f>IF($C$8=0,0,((I27*C27*2.20462)/($C$8/3.78541)))</f>
        <v>0</v>
      </c>
      <c r="I27" s="131">
        <f>IFERROR(INDEX('Maltas y Lúpulos'!E:E,MATCH(Receta!$A27,'Maltas y Lúpulos'!B:B,0)),0)</f>
        <v>0</v>
      </c>
      <c r="J27" s="131">
        <f>IFERROR(INDEX('Maltas y Lúpulos'!$D:$D,MATCH(Receta!$A27,'Maltas y Lúpulos'!$B:$B,0)),0)</f>
        <v>0</v>
      </c>
    </row>
    <row r="28" spans="1:16" x14ac:dyDescent="0.25">
      <c r="A28" s="378"/>
      <c r="B28" s="128" t="str">
        <f>IFERROR(INDEX('Maltas y Lúpulos'!C:C,MATCH(Receta!$A28,'Maltas y Lúpulos'!B:B,0)),"")</f>
        <v/>
      </c>
      <c r="C28" s="379">
        <v>0</v>
      </c>
      <c r="D28" s="130">
        <f>IF($C$31=0,0,Receta!$C28/Receta!$C$31)</f>
        <v>0</v>
      </c>
      <c r="E28" s="129">
        <f t="shared" si="0"/>
        <v>0</v>
      </c>
      <c r="F28" s="133">
        <f>IF(OR($C$9=0, $C$31=0),0,IF(Receta!$B28="Base",($C28*(2.205*0.28)*$J28),IF(Receta!$B28="Caramelo",($C28*2.205*((0.21*$J28)+2.5)),IF(Receta!$B28="Tostada",($C28*2.205*38),IF(tbmaltused[[#This Row],[Tipo]]="Melanoidina",(tbmaltused[[#This Row],[Peso '[Kg']]]*65),IF(Receta!$B28="Acida",($C28*2.205*95),0)))))/($C$9*Receta!$C$31))</f>
        <v>0</v>
      </c>
      <c r="G28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28" s="131">
        <f>IF($C$8=0,0,((I28*C28*2.20462)/($C$8/3.78541)))</f>
        <v>0</v>
      </c>
      <c r="I28" s="131">
        <f>IFERROR(INDEX('Maltas y Lúpulos'!E:E,MATCH(Receta!$A28,'Maltas y Lúpulos'!B:B,0)),0)</f>
        <v>0</v>
      </c>
      <c r="J28" s="131">
        <f>IFERROR(INDEX('Maltas y Lúpulos'!$D:$D,MATCH(Receta!$A28,'Maltas y Lúpulos'!$B:$B,0)),0)</f>
        <v>0</v>
      </c>
    </row>
    <row r="29" spans="1:16" x14ac:dyDescent="0.25">
      <c r="A29" s="378"/>
      <c r="B29" s="128" t="str">
        <f>IFERROR(INDEX('Maltas y Lúpulos'!C:C,MATCH(Receta!$A29,'Maltas y Lúpulos'!B:B,0)),"")</f>
        <v/>
      </c>
      <c r="C29" s="379">
        <v>0</v>
      </c>
      <c r="D29" s="130">
        <f>IF($C$31=0,0,Receta!$C29/Receta!$C$31)</f>
        <v>0</v>
      </c>
      <c r="E29" s="129">
        <f t="shared" si="0"/>
        <v>0</v>
      </c>
      <c r="F29" s="133">
        <f>IF(OR($C$9=0, $C$31=0),0,IF(Receta!$B29="Base",($C29*(2.205*0.28)*$J29),IF(Receta!$B29="Caramelo",($C29*2.205*((0.21*$J29)+2.5)),IF(Receta!$B29="Tostada",($C29*2.205*38),IF(tbmaltused[[#This Row],[Tipo]]="Melanoidina",(tbmaltused[[#This Row],[Peso '[Kg']]]*65),IF(Receta!$B29="Acida",($C29*2.205*95),0)))))/($C$9*Receta!$C$31))</f>
        <v>0</v>
      </c>
      <c r="G29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29" s="131">
        <f>IF($C$8=0,0,((I29*C29*2.20462)/($C$8/3.78541)))</f>
        <v>0</v>
      </c>
      <c r="I29" s="131">
        <f>IFERROR(INDEX('Maltas y Lúpulos'!E:E,MATCH(Receta!$A29,'Maltas y Lúpulos'!B:B,0)),0)</f>
        <v>0</v>
      </c>
      <c r="J29" s="131">
        <f>IFERROR(INDEX('Maltas y Lúpulos'!$D:$D,MATCH(Receta!$A29,'Maltas y Lúpulos'!$B:$B,0)),0)</f>
        <v>0</v>
      </c>
    </row>
    <row r="30" spans="1:16" x14ac:dyDescent="0.25">
      <c r="A30" s="378"/>
      <c r="B30" s="128" t="str">
        <f>IFERROR(INDEX('Maltas y Lúpulos'!C:C,MATCH(Receta!$A30,'Maltas y Lúpulos'!B:B,0)),"")</f>
        <v/>
      </c>
      <c r="C30" s="379">
        <v>0</v>
      </c>
      <c r="D30" s="130">
        <f>IF($C$31=0,0,Receta!$C30/Receta!$C$31)</f>
        <v>0</v>
      </c>
      <c r="E30" s="129">
        <f t="shared" si="0"/>
        <v>0</v>
      </c>
      <c r="F30" s="133">
        <f>IF(OR($C$9=0, $C$31=0),0,IF(Receta!$B30="Base",($C30*(2.205*0.28)*$J30),IF(Receta!$B30="Caramelo",($C30*2.205*((0.21*$J30)+2.5)),IF(Receta!$B30="Tostada",($C30*2.205*38),IF(tbmaltused[[#This Row],[Tipo]]="Melanoidina",(tbmaltused[[#This Row],[Peso '[Kg']]]*65),IF(Receta!$B30="Acida",($C30*2.205*95),0)))))/($C$9*Receta!$C$31))</f>
        <v>0</v>
      </c>
      <c r="G30" s="133">
        <f>IF(OR($C$9=0, $C$31=0),0,IF(tbmaltused[[#This Row],[Tipo]]="Base",(tbmaltused[[#This Row],[%]]*(0.0012*#REF!^2-0.051*#REF!+6.1088)),IF(tbmaltused[[#This Row],[Tipo]]="Caramelo",(tbmaltused[[#This Row],[%]]*(1.4239*#REF!^0.6585))/($C$9),IF(tbmaltused[[#This Row],[Tipo]]="Tostada",(tbmaltused[[#This Row],[%]]*(-0.0111*#REF!+50.514))/($C$9),IF(tbmaltused[[#This Row],[Tipo]]="Acida",(tbmaltused[[#This Row],[%]]*(336))/($C$9),IF(tbmaltused[[#This Row],[Tipo]]="Melanoidina",(tbmaltused[[#This Row],[%]]*(65))/($C$9),0))))))</f>
        <v>0</v>
      </c>
      <c r="H30" s="131">
        <f>IF($C$8=0,0,((I30*C30*2.20462)/($C$8/3.78541)))</f>
        <v>0</v>
      </c>
      <c r="I30" s="131">
        <f>IFERROR(INDEX('Maltas y Lúpulos'!E:E,MATCH(Receta!$A30,'Maltas y Lúpulos'!B:B,0)),0)</f>
        <v>0</v>
      </c>
      <c r="J30" s="131">
        <f>IFERROR(INDEX('Maltas y Lúpulos'!$D:$D,MATCH(Receta!$A30,'Maltas y Lúpulos'!$B:$B,0)),0)</f>
        <v>0</v>
      </c>
    </row>
    <row r="31" spans="1:16" x14ac:dyDescent="0.25">
      <c r="A31" s="137" t="s">
        <v>7</v>
      </c>
      <c r="B31" s="135"/>
      <c r="C31" s="136">
        <f>SUM(C16:C30)</f>
        <v>0</v>
      </c>
      <c r="D31" s="136">
        <f>SUM(D16:D30)</f>
        <v>0</v>
      </c>
      <c r="E31" s="136">
        <f>SUM(E16:E30)</f>
        <v>0</v>
      </c>
      <c r="F31" s="136">
        <f>SUM(F16:F30)</f>
        <v>0</v>
      </c>
      <c r="G31" s="2">
        <f>SUMIF($B$16:$B$30,"&lt;&gt;Base",$G$16:$G$30)</f>
        <v>0</v>
      </c>
      <c r="H31" s="136">
        <f>SUM(H16:H30)</f>
        <v>0</v>
      </c>
      <c r="I31" s="136"/>
    </row>
    <row r="32" spans="1:16" x14ac:dyDescent="0.25">
      <c r="J32" s="57"/>
      <c r="K32" s="58"/>
      <c r="L32" s="58"/>
      <c r="M32" s="58"/>
      <c r="N32" s="58"/>
      <c r="P32" s="342"/>
    </row>
    <row r="33" spans="1:16" x14ac:dyDescent="0.25">
      <c r="A33" s="139"/>
      <c r="B33" s="20" t="s">
        <v>0</v>
      </c>
      <c r="C33" s="21"/>
      <c r="D33" s="14"/>
      <c r="E33" s="20" t="s">
        <v>46</v>
      </c>
      <c r="F33" s="21"/>
      <c r="G33" s="21"/>
      <c r="H33" s="138"/>
      <c r="P33" s="342"/>
    </row>
    <row r="34" spans="1:16" x14ac:dyDescent="0.25">
      <c r="A34" s="63"/>
      <c r="B34" s="22" t="s">
        <v>45</v>
      </c>
      <c r="C34" s="269">
        <f>IF(C7=0,0,Receta!$E$31/C7)</f>
        <v>0</v>
      </c>
      <c r="D34" s="14"/>
      <c r="E34" s="23"/>
      <c r="F34" s="22" t="s">
        <v>48</v>
      </c>
      <c r="G34" s="269">
        <f>IF(C8=0,0,Receta!$E$31/$C$8)</f>
        <v>0</v>
      </c>
      <c r="H34" s="64"/>
      <c r="I34" s="342"/>
      <c r="N34" s="62"/>
    </row>
    <row r="35" spans="1:16" x14ac:dyDescent="0.25">
      <c r="B35" s="22" t="s">
        <v>44</v>
      </c>
      <c r="C35" s="270">
        <f>IF(C34=0,0,(C34/0.99774+0.00382)*100)</f>
        <v>0</v>
      </c>
      <c r="D35" s="14"/>
      <c r="E35" s="23"/>
      <c r="F35" s="22" t="s">
        <v>49</v>
      </c>
      <c r="G35" s="272">
        <f>IF(G34=0,0,(G34/0.99774+0.00382)*100)</f>
        <v>0</v>
      </c>
    </row>
    <row r="36" spans="1:16" x14ac:dyDescent="0.25">
      <c r="B36" s="22" t="s">
        <v>47</v>
      </c>
      <c r="C36" s="271">
        <f>IF(C35=0,0,1+(C35/(258.6-((C35/258.2)*227.1))))</f>
        <v>0</v>
      </c>
      <c r="D36" s="14"/>
      <c r="E36" s="23"/>
      <c r="F36" s="22" t="s">
        <v>50</v>
      </c>
      <c r="G36" s="271">
        <f>IF(G35=0,0,1+(G35/(258.6-((G35/258.2)*227.1))))</f>
        <v>0</v>
      </c>
      <c r="N36" s="342"/>
    </row>
    <row r="37" spans="1:16" x14ac:dyDescent="0.25">
      <c r="B37" s="275" t="s">
        <v>457</v>
      </c>
      <c r="C37" s="273">
        <f>IFERROR('Modificacion Agua'!L13/'Informe Agua'!M21,0)</f>
        <v>0</v>
      </c>
      <c r="D37" s="14"/>
      <c r="E37" s="23"/>
      <c r="F37" s="22" t="s">
        <v>51</v>
      </c>
      <c r="G37" s="272">
        <f>1.49228*POWER(Receta!$H$31,0.6859)</f>
        <v>0</v>
      </c>
      <c r="J37" s="481"/>
      <c r="K37" s="62"/>
    </row>
    <row r="38" spans="1:16" x14ac:dyDescent="0.25">
      <c r="B38" s="275" t="s">
        <v>520</v>
      </c>
      <c r="C38" s="274">
        <f>F31</f>
        <v>0</v>
      </c>
      <c r="F38" s="22" t="s">
        <v>524</v>
      </c>
      <c r="G38" s="272">
        <f>+G37*1.97</f>
        <v>0</v>
      </c>
      <c r="K38" s="62"/>
    </row>
    <row r="39" spans="1:16" x14ac:dyDescent="0.25">
      <c r="B39" s="275" t="s">
        <v>521</v>
      </c>
      <c r="C39" s="274">
        <f>C38-C37</f>
        <v>0</v>
      </c>
      <c r="F39" s="22"/>
      <c r="G39" s="482"/>
      <c r="K39" s="62"/>
    </row>
    <row r="40" spans="1:16" x14ac:dyDescent="0.25">
      <c r="B40" s="22" t="s">
        <v>542</v>
      </c>
      <c r="C40" s="272">
        <f>5.75-0.17*C39</f>
        <v>5.75</v>
      </c>
      <c r="K40" s="62"/>
    </row>
    <row r="41" spans="1:16" x14ac:dyDescent="0.25">
      <c r="B41" s="22" t="s">
        <v>543</v>
      </c>
      <c r="C41" s="272">
        <f>SUMIF(B16:B30,"Base",G16:G30)+5.7*SUMIF(B16:B30,"&lt;&gt;Base",D16:D30)-(0.14*SUMIF(B16:B30,"&lt;&gt;Base",G16:G30))+(0.013*C9+0.013)*C37</f>
        <v>0</v>
      </c>
      <c r="F41" s="2"/>
      <c r="G41" s="2"/>
      <c r="H41" s="2"/>
      <c r="I41" s="2"/>
      <c r="J41" s="2"/>
      <c r="K41" s="62"/>
      <c r="L41" s="62"/>
    </row>
    <row r="42" spans="1:16" x14ac:dyDescent="0.25">
      <c r="F42" s="2"/>
      <c r="G42" s="2"/>
      <c r="H42" s="2"/>
      <c r="I42" s="2"/>
      <c r="J42" s="2"/>
    </row>
    <row r="43" spans="1:16" ht="15.75" thickBot="1" x14ac:dyDescent="0.3">
      <c r="A43" s="66"/>
      <c r="B43" s="66"/>
      <c r="C43" s="66"/>
      <c r="D43" s="66"/>
      <c r="E43" s="66"/>
      <c r="F43" s="66"/>
      <c r="G43" s="66"/>
      <c r="H43" s="483"/>
      <c r="I43" s="342"/>
      <c r="J43" s="62"/>
    </row>
    <row r="44" spans="1:16" ht="19.5" thickTop="1" x14ac:dyDescent="0.3">
      <c r="A44" s="43" t="s">
        <v>64</v>
      </c>
    </row>
    <row r="45" spans="1:16" ht="30" x14ac:dyDescent="0.25">
      <c r="A45" s="53" t="s">
        <v>64</v>
      </c>
      <c r="B45" s="54" t="s">
        <v>69</v>
      </c>
      <c r="C45" s="53" t="s">
        <v>70</v>
      </c>
      <c r="D45" s="53" t="s">
        <v>71</v>
      </c>
      <c r="E45" s="53" t="s">
        <v>72</v>
      </c>
      <c r="F45" s="55" t="s">
        <v>73</v>
      </c>
    </row>
    <row r="46" spans="1:16" x14ac:dyDescent="0.25">
      <c r="A46" s="19" t="s">
        <v>63</v>
      </c>
      <c r="B46" s="56">
        <f>C9</f>
        <v>0</v>
      </c>
      <c r="C46" s="268">
        <f>$C$9*$C$31</f>
        <v>0</v>
      </c>
      <c r="D46" s="48"/>
      <c r="E46" s="48"/>
      <c r="F46" s="5">
        <f>IF(B46=0,0,(0.47/B46)*(E46-D46)+E46)</f>
        <v>0</v>
      </c>
    </row>
    <row r="47" spans="1:16" x14ac:dyDescent="0.25">
      <c r="A47" s="6" t="s">
        <v>66</v>
      </c>
      <c r="B47" s="2">
        <f>IF(Receta!$C$31=0,0,SUM(C46:C47)/Receta!$C$31)</f>
        <v>0</v>
      </c>
      <c r="C47" s="278">
        <f>(E47-D47)*(0.47*$C$31+$C$46)/(F47-E47)</f>
        <v>0</v>
      </c>
      <c r="D47" s="48"/>
      <c r="E47" s="48"/>
      <c r="F47" s="48">
        <v>98</v>
      </c>
    </row>
    <row r="48" spans="1:16" x14ac:dyDescent="0.25">
      <c r="A48" s="6" t="s">
        <v>65</v>
      </c>
      <c r="B48" s="2">
        <f>IF(Receta!$C$31=0,0,SUM(C46:C48)/Receta!$C$31)</f>
        <v>0</v>
      </c>
      <c r="C48" s="278">
        <f>(E48-D48)*(0.47*$C$31+$C$46)/(F48-E48)</f>
        <v>0</v>
      </c>
      <c r="D48" s="48"/>
      <c r="E48" s="48"/>
      <c r="F48" s="48">
        <v>98</v>
      </c>
    </row>
    <row r="49" spans="1:8" x14ac:dyDescent="0.25">
      <c r="A49" s="6" t="s">
        <v>67</v>
      </c>
      <c r="B49" s="2">
        <f>IF(Receta!$C$31=0,0,SUM(C46:C49)/Receta!$C$31)</f>
        <v>0</v>
      </c>
      <c r="C49" s="278">
        <f>(E49-D49)*(0.47*$C$31+$C$46)/(F49-E49)</f>
        <v>0</v>
      </c>
      <c r="D49" s="48"/>
      <c r="E49" s="48"/>
      <c r="F49" s="48">
        <v>98</v>
      </c>
    </row>
    <row r="50" spans="1:8" x14ac:dyDescent="0.25">
      <c r="A50" s="6" t="s">
        <v>68</v>
      </c>
      <c r="B50" s="2">
        <f>IF(Receta!$C$31=0,0,SUM(C46:C50)/Receta!$C$31)</f>
        <v>0</v>
      </c>
      <c r="C50" s="278">
        <f>(E50-D50)*(0.47*$C$31+$C$46)/(F50-E50)</f>
        <v>0</v>
      </c>
      <c r="D50" s="48"/>
      <c r="E50" s="48"/>
      <c r="F50" s="48">
        <v>98</v>
      </c>
    </row>
    <row r="51" spans="1:8" x14ac:dyDescent="0.25">
      <c r="A51" t="s">
        <v>7</v>
      </c>
      <c r="B51" s="276"/>
      <c r="C51" s="277">
        <f>SUBTOTAL(109,Tabla7[Vol. '[l']])</f>
        <v>0</v>
      </c>
      <c r="G51" s="17"/>
      <c r="H51" s="18"/>
    </row>
    <row r="52" spans="1:8" x14ac:dyDescent="0.25">
      <c r="A52" s="4"/>
      <c r="B52" s="4"/>
      <c r="C52" s="4"/>
      <c r="D52" s="4"/>
      <c r="E52" s="4"/>
      <c r="F52" s="4"/>
      <c r="G52" s="4"/>
      <c r="H52" s="65"/>
    </row>
    <row r="53" spans="1:8" ht="18.75" x14ac:dyDescent="0.3">
      <c r="A53" s="43" t="s">
        <v>79</v>
      </c>
      <c r="B53" t="s">
        <v>76</v>
      </c>
      <c r="D53" t="s">
        <v>75</v>
      </c>
    </row>
    <row r="54" spans="1:8" ht="30" x14ac:dyDescent="0.25">
      <c r="A54" s="279" t="s">
        <v>8</v>
      </c>
      <c r="B54" s="279" t="s">
        <v>17</v>
      </c>
      <c r="C54" s="279" t="s">
        <v>9</v>
      </c>
      <c r="D54" s="279" t="s">
        <v>53</v>
      </c>
      <c r="E54" s="279" t="s">
        <v>52</v>
      </c>
      <c r="F54" s="280" t="s">
        <v>57</v>
      </c>
      <c r="G54" s="281" t="s">
        <v>58</v>
      </c>
      <c r="H54" s="279" t="s">
        <v>62</v>
      </c>
    </row>
    <row r="55" spans="1:8" x14ac:dyDescent="0.25">
      <c r="A55" s="384"/>
      <c r="B55" s="260" t="str">
        <f>IFERROR(INDEX('Maltas y Lúpulos'!$K:$K,MATCH(Receta!$A55,'Maltas y Lúpulos'!$J:$J,0)),"")</f>
        <v/>
      </c>
      <c r="C55" s="261" t="str">
        <f>IFERROR(INDEX('Maltas y Lúpulos'!$L:$L,MATCH(Receta!$A55,'Maltas y Lúpulos'!$J:$J,0)),"")</f>
        <v/>
      </c>
      <c r="D55" s="380"/>
      <c r="E55" s="380"/>
      <c r="F55" s="381"/>
      <c r="G55" s="263">
        <f t="shared" ref="G55:G69" si="1">IF($C$36=0,0,25.367715*(1-POWER(EXP(1),-0.04*F55))*1.5673*POWER(0.000125,$C$36-1)/100)</f>
        <v>0</v>
      </c>
      <c r="H55" s="260">
        <f>IFERROR(IF($C$8=0,0,E55*C55*G55*10/$C$8),0)</f>
        <v>0</v>
      </c>
    </row>
    <row r="56" spans="1:8" x14ac:dyDescent="0.25">
      <c r="A56" s="385"/>
      <c r="B56" s="258" t="str">
        <f>IFERROR(INDEX('Maltas y Lúpulos'!$K:$K,MATCH(Receta!$A56,'Maltas y Lúpulos'!$J:$J,0)),"")</f>
        <v/>
      </c>
      <c r="C56" s="262" t="str">
        <f>IFERROR(INDEX('Maltas y Lúpulos'!$L:$L,MATCH(Receta!$A56,'Maltas y Lúpulos'!$J:$J,0)),"")</f>
        <v/>
      </c>
      <c r="D56" s="382"/>
      <c r="E56" s="382"/>
      <c r="F56" s="383"/>
      <c r="G56" s="264">
        <f t="shared" si="1"/>
        <v>0</v>
      </c>
      <c r="H56" s="258">
        <f t="shared" ref="H56:H69" si="2">IFERROR(IF($C$8=0,0,E56*C56*G56*10/$C$8),0)</f>
        <v>0</v>
      </c>
    </row>
    <row r="57" spans="1:8" x14ac:dyDescent="0.25">
      <c r="A57" s="384"/>
      <c r="B57" s="257" t="str">
        <f>IFERROR(INDEX('Maltas y Lúpulos'!$K:$K,MATCH(Receta!$A57,'Maltas y Lúpulos'!$J:$J,0)),"")</f>
        <v/>
      </c>
      <c r="C57" s="260" t="str">
        <f>IFERROR(INDEX('Maltas y Lúpulos'!$L:$L,MATCH(Receta!$A57,'Maltas y Lúpulos'!$J:$J,0)),"")</f>
        <v/>
      </c>
      <c r="D57" s="380"/>
      <c r="E57" s="380"/>
      <c r="F57" s="381"/>
      <c r="G57" s="263">
        <f t="shared" si="1"/>
        <v>0</v>
      </c>
      <c r="H57" s="257">
        <f t="shared" si="2"/>
        <v>0</v>
      </c>
    </row>
    <row r="58" spans="1:8" x14ac:dyDescent="0.25">
      <c r="A58" s="385"/>
      <c r="B58" s="258" t="str">
        <f>IFERROR(INDEX('Maltas y Lúpulos'!$K:$K,MATCH(Receta!$A58,'Maltas y Lúpulos'!$J:$J,0)),"")</f>
        <v/>
      </c>
      <c r="C58" s="258" t="str">
        <f>IFERROR(INDEX('Maltas y Lúpulos'!$L:$L,MATCH(Receta!$A58,'Maltas y Lúpulos'!$J:$J,0)),"")</f>
        <v/>
      </c>
      <c r="D58" s="382"/>
      <c r="E58" s="382"/>
      <c r="F58" s="383"/>
      <c r="G58" s="264">
        <f t="shared" si="1"/>
        <v>0</v>
      </c>
      <c r="H58" s="258">
        <f t="shared" si="2"/>
        <v>0</v>
      </c>
    </row>
    <row r="59" spans="1:8" x14ac:dyDescent="0.25">
      <c r="A59" s="384"/>
      <c r="B59" s="260" t="str">
        <f>IFERROR(INDEX('Maltas y Lúpulos'!$K:$K,MATCH(Receta!$A59,'Maltas y Lúpulos'!$J:$J,0)),"")</f>
        <v/>
      </c>
      <c r="C59" s="261" t="str">
        <f>IFERROR(INDEX('Maltas y Lúpulos'!$L:$L,MATCH(Receta!$A59,'Maltas y Lúpulos'!$J:$J,0)),"")</f>
        <v/>
      </c>
      <c r="D59" s="380"/>
      <c r="E59" s="380"/>
      <c r="F59" s="381"/>
      <c r="G59" s="263">
        <f t="shared" si="1"/>
        <v>0</v>
      </c>
      <c r="H59" s="260">
        <f t="shared" si="2"/>
        <v>0</v>
      </c>
    </row>
    <row r="60" spans="1:8" x14ac:dyDescent="0.25">
      <c r="A60" s="385"/>
      <c r="B60" s="258" t="str">
        <f>IFERROR(INDEX('Maltas y Lúpulos'!$K:$K,MATCH(Receta!$A60,'Maltas y Lúpulos'!$J:$J,0)),"")</f>
        <v/>
      </c>
      <c r="C60" s="258" t="str">
        <f>IFERROR(INDEX('Maltas y Lúpulos'!$L:$L,MATCH(Receta!$A60,'Maltas y Lúpulos'!$J:$J,0)),"")</f>
        <v/>
      </c>
      <c r="D60" s="382"/>
      <c r="E60" s="382"/>
      <c r="F60" s="383"/>
      <c r="G60" s="264">
        <f t="shared" si="1"/>
        <v>0</v>
      </c>
      <c r="H60" s="258">
        <f t="shared" si="2"/>
        <v>0</v>
      </c>
    </row>
    <row r="61" spans="1:8" x14ac:dyDescent="0.25">
      <c r="A61" s="384"/>
      <c r="B61" s="257" t="str">
        <f>IFERROR(INDEX('Maltas y Lúpulos'!$K:$K,MATCH(Receta!$A61,'Maltas y Lúpulos'!$J:$J,0)),"")</f>
        <v/>
      </c>
      <c r="C61" s="257" t="str">
        <f>IFERROR(INDEX('Maltas y Lúpulos'!$L:$L,MATCH(Receta!$A61,'Maltas y Lúpulos'!$J:$J,0)),"")</f>
        <v/>
      </c>
      <c r="D61" s="380"/>
      <c r="E61" s="380"/>
      <c r="F61" s="381"/>
      <c r="G61" s="263">
        <f t="shared" si="1"/>
        <v>0</v>
      </c>
      <c r="H61" s="257">
        <f t="shared" si="2"/>
        <v>0</v>
      </c>
    </row>
    <row r="62" spans="1:8" x14ac:dyDescent="0.25">
      <c r="A62" s="385"/>
      <c r="B62" s="258" t="str">
        <f>IFERROR(INDEX('Maltas y Lúpulos'!$K:$K,MATCH(Receta!$A62,'Maltas y Lúpulos'!$J:$J,0)),"")</f>
        <v/>
      </c>
      <c r="C62" s="258" t="str">
        <f>IFERROR(INDEX('Maltas y Lúpulos'!$L:$L,MATCH(Receta!$A62,'Maltas y Lúpulos'!$J:$J,0)),"")</f>
        <v/>
      </c>
      <c r="D62" s="382"/>
      <c r="E62" s="382"/>
      <c r="F62" s="383"/>
      <c r="G62" s="264">
        <f t="shared" si="1"/>
        <v>0</v>
      </c>
      <c r="H62" s="258">
        <f t="shared" si="2"/>
        <v>0</v>
      </c>
    </row>
    <row r="63" spans="1:8" x14ac:dyDescent="0.25">
      <c r="A63" s="384"/>
      <c r="B63" s="260" t="str">
        <f>IFERROR(INDEX('Maltas y Lúpulos'!$K:$K,MATCH(Receta!$A63,'Maltas y Lúpulos'!$J:$J,0)),"")</f>
        <v/>
      </c>
      <c r="C63" s="259" t="str">
        <f>IFERROR(INDEX('Maltas y Lúpulos'!$L:$L,MATCH(Receta!$A63,'Maltas y Lúpulos'!$J:$J,0)),"")</f>
        <v/>
      </c>
      <c r="D63" s="380"/>
      <c r="E63" s="380"/>
      <c r="F63" s="381"/>
      <c r="G63" s="263">
        <f t="shared" si="1"/>
        <v>0</v>
      </c>
      <c r="H63" s="260">
        <f t="shared" si="2"/>
        <v>0</v>
      </c>
    </row>
    <row r="64" spans="1:8" x14ac:dyDescent="0.25">
      <c r="A64" s="385"/>
      <c r="B64" s="258" t="str">
        <f>IFERROR(INDEX('Maltas y Lúpulos'!$K:$K,MATCH(Receta!$A64,'Maltas y Lúpulos'!$J:$J,0)),"")</f>
        <v/>
      </c>
      <c r="C64" s="258" t="str">
        <f>IFERROR(INDEX('Maltas y Lúpulos'!$L:$L,MATCH(Receta!$A64,'Maltas y Lúpulos'!$J:$J,0)),"")</f>
        <v/>
      </c>
      <c r="D64" s="382"/>
      <c r="E64" s="382"/>
      <c r="F64" s="383"/>
      <c r="G64" s="264">
        <f t="shared" si="1"/>
        <v>0</v>
      </c>
      <c r="H64" s="258">
        <f t="shared" si="2"/>
        <v>0</v>
      </c>
    </row>
    <row r="65" spans="1:8" x14ac:dyDescent="0.25">
      <c r="A65" s="384"/>
      <c r="B65" s="257" t="str">
        <f>IFERROR(INDEX('Maltas y Lúpulos'!$K:$K,MATCH(Receta!$A65,'Maltas y Lúpulos'!$J:$J,0)),"")</f>
        <v/>
      </c>
      <c r="C65" s="257" t="str">
        <f>IFERROR(INDEX('Maltas y Lúpulos'!$L:$L,MATCH(Receta!$A65,'Maltas y Lúpulos'!$J:$J,0)),"")</f>
        <v/>
      </c>
      <c r="D65" s="380"/>
      <c r="E65" s="380"/>
      <c r="F65" s="381"/>
      <c r="G65" s="263">
        <f t="shared" si="1"/>
        <v>0</v>
      </c>
      <c r="H65" s="257">
        <f t="shared" si="2"/>
        <v>0</v>
      </c>
    </row>
    <row r="66" spans="1:8" x14ac:dyDescent="0.25">
      <c r="A66" s="385"/>
      <c r="B66" s="258" t="str">
        <f>IFERROR(INDEX('Maltas y Lúpulos'!$K:$K,MATCH(Receta!$A66,'Maltas y Lúpulos'!$J:$J,0)),"")</f>
        <v/>
      </c>
      <c r="C66" s="258" t="str">
        <f>IFERROR(INDEX('Maltas y Lúpulos'!$L:$L,MATCH(Receta!$A66,'Maltas y Lúpulos'!$J:$J,0)),"")</f>
        <v/>
      </c>
      <c r="D66" s="382"/>
      <c r="E66" s="382"/>
      <c r="F66" s="383"/>
      <c r="G66" s="264">
        <f t="shared" si="1"/>
        <v>0</v>
      </c>
      <c r="H66" s="258">
        <f t="shared" si="2"/>
        <v>0</v>
      </c>
    </row>
    <row r="67" spans="1:8" x14ac:dyDescent="0.25">
      <c r="A67" s="384"/>
      <c r="B67" s="260" t="str">
        <f>IFERROR(INDEX('Maltas y Lúpulos'!$K:$K,MATCH(Receta!$A67,'Maltas y Lúpulos'!$J:$J,0)),"")</f>
        <v/>
      </c>
      <c r="C67" s="259" t="str">
        <f>IFERROR(INDEX('Maltas y Lúpulos'!$L:$L,MATCH(Receta!$A67,'Maltas y Lúpulos'!$J:$J,0)),"")</f>
        <v/>
      </c>
      <c r="D67" s="380"/>
      <c r="E67" s="380"/>
      <c r="F67" s="381"/>
      <c r="G67" s="263">
        <f t="shared" si="1"/>
        <v>0</v>
      </c>
      <c r="H67" s="260">
        <f t="shared" si="2"/>
        <v>0</v>
      </c>
    </row>
    <row r="68" spans="1:8" x14ac:dyDescent="0.25">
      <c r="A68" s="385"/>
      <c r="B68" s="258" t="str">
        <f>IFERROR(INDEX('Maltas y Lúpulos'!$K:$K,MATCH(Receta!$A68,'Maltas y Lúpulos'!$J:$J,0)),"")</f>
        <v/>
      </c>
      <c r="C68" s="258" t="str">
        <f>IFERROR(INDEX('Maltas y Lúpulos'!$L:$L,MATCH(Receta!$A68,'Maltas y Lúpulos'!$J:$J,0)),"")</f>
        <v/>
      </c>
      <c r="D68" s="382"/>
      <c r="E68" s="382"/>
      <c r="F68" s="383"/>
      <c r="G68" s="264">
        <f t="shared" si="1"/>
        <v>0</v>
      </c>
      <c r="H68" s="258">
        <f t="shared" si="2"/>
        <v>0</v>
      </c>
    </row>
    <row r="69" spans="1:8" ht="15.75" thickBot="1" x14ac:dyDescent="0.3">
      <c r="A69" s="384"/>
      <c r="B69" s="257" t="str">
        <f>IFERROR(INDEX('Maltas y Lúpulos'!$K:$K,MATCH(Receta!$A69,'Maltas y Lúpulos'!$J:$J,0)),"")</f>
        <v/>
      </c>
      <c r="C69" s="257" t="str">
        <f>IFERROR(INDEX('Maltas y Lúpulos'!$L:$L,MATCH(Receta!$A69,'Maltas y Lúpulos'!$J:$J,0)),"")</f>
        <v/>
      </c>
      <c r="D69" s="380"/>
      <c r="E69" s="380"/>
      <c r="F69" s="381"/>
      <c r="G69" s="263">
        <f t="shared" si="1"/>
        <v>0</v>
      </c>
      <c r="H69" s="257">
        <f t="shared" si="2"/>
        <v>0</v>
      </c>
    </row>
    <row r="70" spans="1:8" ht="15.75" thickTop="1" x14ac:dyDescent="0.25">
      <c r="A70" s="282" t="s">
        <v>61</v>
      </c>
      <c r="B70" s="283"/>
      <c r="C70" s="284"/>
      <c r="D70" s="282"/>
      <c r="E70" s="282"/>
      <c r="F70" s="285"/>
      <c r="G70" s="286"/>
      <c r="H70" s="287">
        <f>SUBTOTAL(109,Receta!$H$55:$H$69)</f>
        <v>0</v>
      </c>
    </row>
    <row r="72" spans="1:8" ht="18.75" x14ac:dyDescent="0.3">
      <c r="A72" s="43" t="s">
        <v>4</v>
      </c>
      <c r="B72" s="4"/>
    </row>
    <row r="73" spans="1:8" x14ac:dyDescent="0.25">
      <c r="B73" s="11" t="s">
        <v>80</v>
      </c>
      <c r="C73" s="49">
        <v>0</v>
      </c>
    </row>
    <row r="74" spans="1:8" x14ac:dyDescent="0.25">
      <c r="B74" s="13" t="s">
        <v>81</v>
      </c>
      <c r="C74" s="50">
        <v>0</v>
      </c>
    </row>
    <row r="76" spans="1:8" x14ac:dyDescent="0.25">
      <c r="C76" s="9" t="s">
        <v>82</v>
      </c>
      <c r="D76" s="265">
        <f>IF(D77=0,0,1+(D77/(258.6-((D77/258.2)*227.1))))</f>
        <v>0</v>
      </c>
    </row>
    <row r="77" spans="1:8" x14ac:dyDescent="0.25">
      <c r="C77" s="10" t="s">
        <v>83</v>
      </c>
      <c r="D77" s="266">
        <f>G35-(C74*G35)</f>
        <v>0</v>
      </c>
    </row>
    <row r="78" spans="1:8" x14ac:dyDescent="0.25">
      <c r="C78" s="10" t="s">
        <v>84</v>
      </c>
      <c r="D78" s="266">
        <f>IF(D77=0,0,0.22+0.001*D77)</f>
        <v>0</v>
      </c>
    </row>
    <row r="79" spans="1:8" x14ac:dyDescent="0.25">
      <c r="C79" s="10" t="s">
        <v>85</v>
      </c>
      <c r="D79" s="266">
        <f>(D78*G35+D77)/(1+D78)</f>
        <v>0</v>
      </c>
    </row>
    <row r="80" spans="1:8" x14ac:dyDescent="0.25">
      <c r="C80" s="10" t="s">
        <v>86</v>
      </c>
      <c r="D80" s="266">
        <f>((G35-D79)/(2.0665-0.010665*G35))</f>
        <v>0</v>
      </c>
    </row>
    <row r="81" spans="1:4" x14ac:dyDescent="0.25">
      <c r="C81" s="10" t="s">
        <v>87</v>
      </c>
      <c r="D81" s="266">
        <f>D80*(D76/0.794)</f>
        <v>0</v>
      </c>
    </row>
    <row r="83" spans="1:4" ht="18.75" x14ac:dyDescent="0.3">
      <c r="A83" s="43" t="s">
        <v>16</v>
      </c>
    </row>
    <row r="84" spans="1:4" x14ac:dyDescent="0.25">
      <c r="B84" s="11" t="s">
        <v>88</v>
      </c>
      <c r="C84" s="51">
        <v>0</v>
      </c>
    </row>
    <row r="85" spans="1:4" x14ac:dyDescent="0.25">
      <c r="B85" s="11" t="s">
        <v>89</v>
      </c>
      <c r="C85" s="51">
        <v>0</v>
      </c>
    </row>
    <row r="86" spans="1:4" x14ac:dyDescent="0.25">
      <c r="D86" s="4"/>
    </row>
    <row r="87" spans="1:4" x14ac:dyDescent="0.25">
      <c r="C87" s="9" t="s">
        <v>90</v>
      </c>
      <c r="D87" s="267">
        <f>IF(C84=0,0,(15.195/3.785411)*(C85-3.0378+0.050062*(1.8*C84+32)-0.00026555*POWER((1.8*C84+32),2)))</f>
        <v>0</v>
      </c>
    </row>
  </sheetData>
  <sheetProtection algorithmName="SHA-512" hashValue="ZSAC/C29K/FlNF9VrnDmgcTw840qUpIrtgeGaN3vixQ/IM/KYW9qCnrjOXNaycUFHBmUi7zz0uWdcMZc0oevHQ==" saltValue="57gsN1sWW83giX+alTkJWg==" spinCount="100000" sheet="1" autoFilter="0"/>
  <dataValidations count="3">
    <dataValidation type="list" allowBlank="1" showInputMessage="1" showErrorMessage="1" sqref="A16:A30" xr:uid="{00000000-0002-0000-0200-000000000000}">
      <formula1>Malta</formula1>
    </dataValidation>
    <dataValidation type="list" allowBlank="1" showInputMessage="1" showErrorMessage="1" sqref="D55:D69" xr:uid="{00000000-0002-0000-0200-000001000000}">
      <formula1>"FWH,Amargo,Sabor,Aroma,Whirlpool,Dry Hop"</formula1>
    </dataValidation>
    <dataValidation type="list" allowBlank="1" showInputMessage="1" showErrorMessage="1" sqref="A55:A69" xr:uid="{00000000-0002-0000-0200-000002000000}">
      <formula1>listlupulo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  <headerFooter>
    <oddHeader>&amp;C&amp;G</oddHeader>
    <oddFooter>&amp;L&amp;D&amp;R&amp;P / &amp;N</oddFooter>
  </headerFooter>
  <rowBreaks count="1" manualBreakCount="1">
    <brk id="41" max="16383" man="1"/>
  </rowBreaks>
  <legacyDrawingHF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2:M30"/>
  <sheetViews>
    <sheetView showRuler="0" view="pageLayout" zoomScale="90" zoomScaleNormal="90" zoomScalePageLayoutView="90" workbookViewId="0">
      <selection activeCell="H20" sqref="H20"/>
    </sheetView>
  </sheetViews>
  <sheetFormatPr baseColWidth="10" defaultRowHeight="15" x14ac:dyDescent="0.25"/>
  <cols>
    <col min="3" max="3" width="8.7109375" bestFit="1" customWidth="1"/>
    <col min="4" max="4" width="7.42578125" bestFit="1" customWidth="1"/>
    <col min="5" max="5" width="9.7109375" customWidth="1"/>
    <col min="8" max="8" width="9.140625" bestFit="1" customWidth="1"/>
    <col min="9" max="9" width="13.5703125" style="67" customWidth="1"/>
    <col min="11" max="11" width="14.140625" bestFit="1" customWidth="1"/>
    <col min="12" max="12" width="22.28515625" customWidth="1"/>
    <col min="13" max="13" width="13.140625" customWidth="1"/>
  </cols>
  <sheetData>
    <row r="2" spans="1:13" ht="15.75" thickBot="1" x14ac:dyDescent="0.3">
      <c r="A2" s="163"/>
      <c r="B2" s="163"/>
      <c r="C2" s="163"/>
      <c r="D2" s="163"/>
      <c r="E2" s="163"/>
      <c r="F2" s="163"/>
      <c r="G2" s="163"/>
      <c r="H2" s="163"/>
      <c r="I2" s="164"/>
    </row>
    <row r="3" spans="1:13" ht="15.75" thickTop="1" x14ac:dyDescent="0.25"/>
    <row r="4" spans="1:13" x14ac:dyDescent="0.25">
      <c r="A4" t="s">
        <v>379</v>
      </c>
      <c r="K4" s="299"/>
      <c r="L4" s="299"/>
    </row>
    <row r="6" spans="1:13" ht="18.75" thickBot="1" x14ac:dyDescent="0.4">
      <c r="A6" s="167" t="s">
        <v>149</v>
      </c>
      <c r="B6" s="168"/>
      <c r="C6" s="167" t="s">
        <v>152</v>
      </c>
      <c r="D6" s="167" t="s">
        <v>162</v>
      </c>
      <c r="F6" s="167" t="s">
        <v>150</v>
      </c>
      <c r="G6" s="168"/>
      <c r="H6" s="167" t="s">
        <v>162</v>
      </c>
      <c r="I6" s="167" t="s">
        <v>430</v>
      </c>
      <c r="K6" s="19" t="s">
        <v>422</v>
      </c>
      <c r="L6" s="19" t="s">
        <v>380</v>
      </c>
      <c r="M6" s="19" t="s">
        <v>381</v>
      </c>
    </row>
    <row r="7" spans="1:13" ht="18" thickTop="1" x14ac:dyDescent="0.25">
      <c r="B7" s="6" t="s">
        <v>151</v>
      </c>
      <c r="C7" s="68">
        <v>0</v>
      </c>
      <c r="D7" s="2">
        <f>C7/Tabla4[[#This Row],[Equivalentes]]</f>
        <v>0</v>
      </c>
      <c r="G7" s="6" t="s">
        <v>153</v>
      </c>
      <c r="H7" s="2">
        <f>D7+D8</f>
        <v>0</v>
      </c>
      <c r="I7" s="304">
        <f>+H7*M21</f>
        <v>0</v>
      </c>
      <c r="K7" s="19" t="s">
        <v>245</v>
      </c>
      <c r="L7" s="110">
        <v>40.078000000000003</v>
      </c>
      <c r="M7" s="110">
        <f>+L7/2</f>
        <v>20.039000000000001</v>
      </c>
    </row>
    <row r="8" spans="1:13" ht="17.25" x14ac:dyDescent="0.25">
      <c r="B8" s="6" t="s">
        <v>155</v>
      </c>
      <c r="C8" s="48">
        <v>0</v>
      </c>
      <c r="D8" s="2">
        <f>C8/Tabla4[[#This Row],[Equivalentes]]</f>
        <v>0</v>
      </c>
      <c r="G8" s="6" t="s">
        <v>156</v>
      </c>
      <c r="H8" s="2">
        <f>H7-H9</f>
        <v>0</v>
      </c>
      <c r="I8" s="304">
        <f>H8*M21</f>
        <v>0</v>
      </c>
      <c r="K8" s="19" t="s">
        <v>248</v>
      </c>
      <c r="L8" s="110">
        <v>24.305</v>
      </c>
      <c r="M8" s="110">
        <f>+L8/2</f>
        <v>12.1525</v>
      </c>
    </row>
    <row r="9" spans="1:13" ht="17.25" x14ac:dyDescent="0.25">
      <c r="B9" s="6" t="s">
        <v>157</v>
      </c>
      <c r="C9" s="48">
        <v>0</v>
      </c>
      <c r="D9" s="2">
        <f>C9/Tabla4[[#This Row],[Equivalentes]]</f>
        <v>0</v>
      </c>
      <c r="G9" s="6" t="s">
        <v>158</v>
      </c>
      <c r="H9" s="2">
        <f>IF(H13&lt;H7,H13,H7)</f>
        <v>0</v>
      </c>
      <c r="I9" s="304">
        <f>H9*M21</f>
        <v>0</v>
      </c>
      <c r="K9" s="19" t="s">
        <v>249</v>
      </c>
      <c r="L9" s="110">
        <v>22.99</v>
      </c>
      <c r="M9" s="110">
        <f>L9</f>
        <v>22.99</v>
      </c>
    </row>
    <row r="10" spans="1:13" ht="17.25" x14ac:dyDescent="0.25">
      <c r="B10" s="6" t="s">
        <v>159</v>
      </c>
      <c r="C10" s="48">
        <v>0</v>
      </c>
      <c r="D10" s="2">
        <f>C10/Tabla4[[#This Row],[Equivalentes]]</f>
        <v>0</v>
      </c>
      <c r="G10" s="6" t="s">
        <v>514</v>
      </c>
      <c r="H10" s="2">
        <f>D7+D8/2</f>
        <v>0</v>
      </c>
      <c r="I10" s="304">
        <f>+H10*M21</f>
        <v>0</v>
      </c>
      <c r="J10" s="299"/>
      <c r="K10" s="19" t="s">
        <v>271</v>
      </c>
      <c r="L10" s="110">
        <v>39.101999999999997</v>
      </c>
      <c r="M10" s="110">
        <f>L10</f>
        <v>39.101999999999997</v>
      </c>
    </row>
    <row r="11" spans="1:13" ht="15.75" thickBot="1" x14ac:dyDescent="0.3">
      <c r="B11" s="165" t="s">
        <v>160</v>
      </c>
      <c r="C11" s="166">
        <v>0</v>
      </c>
      <c r="D11" s="302">
        <f>C11/Tabla4[[#This Row],[Equivalentes]]</f>
        <v>0</v>
      </c>
      <c r="J11" s="299"/>
      <c r="K11" s="19" t="s">
        <v>272</v>
      </c>
      <c r="L11" s="110">
        <v>58.844999999999999</v>
      </c>
      <c r="M11" s="110">
        <f>L11/2.07</f>
        <v>28.427536231884059</v>
      </c>
    </row>
    <row r="12" spans="1:13" ht="19.5" thickTop="1" thickBot="1" x14ac:dyDescent="0.4">
      <c r="B12" s="169" t="s">
        <v>7</v>
      </c>
      <c r="C12" s="303">
        <f>SUM(C7:C11)</f>
        <v>0</v>
      </c>
      <c r="D12" s="303">
        <f>SUM(D7:D11)</f>
        <v>0</v>
      </c>
      <c r="F12" s="167" t="s">
        <v>161</v>
      </c>
      <c r="G12" s="167"/>
      <c r="H12" s="167" t="s">
        <v>162</v>
      </c>
      <c r="I12" s="167" t="s">
        <v>430</v>
      </c>
      <c r="J12" s="299"/>
    </row>
    <row r="13" spans="1:13" ht="15.75" thickTop="1" x14ac:dyDescent="0.25">
      <c r="G13" s="6" t="s">
        <v>163</v>
      </c>
      <c r="H13" s="2">
        <f>D17+2*D18</f>
        <v>0</v>
      </c>
      <c r="I13" s="2">
        <f>H13*M21</f>
        <v>0</v>
      </c>
      <c r="K13" t="s">
        <v>428</v>
      </c>
      <c r="L13" t="s">
        <v>205</v>
      </c>
      <c r="M13" t="s">
        <v>381</v>
      </c>
    </row>
    <row r="14" spans="1:13" ht="18.75" x14ac:dyDescent="0.35">
      <c r="G14" s="6" t="s">
        <v>435</v>
      </c>
      <c r="H14" s="342">
        <f>+H13-(D7/3.5-D8/7)</f>
        <v>0</v>
      </c>
      <c r="I14" s="304">
        <f>H14*M21</f>
        <v>0</v>
      </c>
      <c r="K14" s="300" t="s">
        <v>425</v>
      </c>
      <c r="L14" s="301">
        <v>60.988999999999997</v>
      </c>
      <c r="M14" s="110">
        <f>L14</f>
        <v>60.988999999999997</v>
      </c>
    </row>
    <row r="15" spans="1:13" ht="18.75" x14ac:dyDescent="0.35">
      <c r="G15" s="6"/>
      <c r="H15" s="2"/>
      <c r="J15" s="299"/>
      <c r="K15" s="296" t="s">
        <v>424</v>
      </c>
      <c r="L15" s="297">
        <v>59.980999999999995</v>
      </c>
      <c r="M15" s="298">
        <f>+L15/2</f>
        <v>29.990499999999997</v>
      </c>
    </row>
    <row r="16" spans="1:13" ht="19.5" thickBot="1" x14ac:dyDescent="0.4">
      <c r="A16" s="167" t="s">
        <v>164</v>
      </c>
      <c r="B16" s="168"/>
      <c r="C16" s="167" t="s">
        <v>152</v>
      </c>
      <c r="D16" s="167" t="s">
        <v>162</v>
      </c>
      <c r="F16" s="167" t="s">
        <v>165</v>
      </c>
      <c r="G16" s="167"/>
      <c r="H16" s="167"/>
      <c r="I16" s="167"/>
      <c r="K16" s="293" t="s">
        <v>423</v>
      </c>
      <c r="L16" s="294">
        <v>96.02000000000001</v>
      </c>
      <c r="M16" s="295">
        <f>+L16/2</f>
        <v>48.010000000000005</v>
      </c>
    </row>
    <row r="17" spans="1:13" ht="20.25" thickTop="1" thickBot="1" x14ac:dyDescent="0.4">
      <c r="B17" s="6" t="s">
        <v>166</v>
      </c>
      <c r="C17" s="48">
        <v>0</v>
      </c>
      <c r="D17">
        <f>C17/M14</f>
        <v>0</v>
      </c>
      <c r="G17" s="305" t="s">
        <v>100</v>
      </c>
      <c r="H17" s="306">
        <v>0</v>
      </c>
      <c r="I17" s="307"/>
      <c r="K17" s="109" t="s">
        <v>427</v>
      </c>
      <c r="L17" s="111">
        <v>34.450000000000003</v>
      </c>
      <c r="M17" s="110">
        <v>35.450000000000003</v>
      </c>
    </row>
    <row r="18" spans="1:13" ht="20.25" thickTop="1" thickBot="1" x14ac:dyDescent="0.4">
      <c r="B18" s="6" t="s">
        <v>167</v>
      </c>
      <c r="C18" s="48">
        <v>0</v>
      </c>
      <c r="D18">
        <f>C18/M15</f>
        <v>0</v>
      </c>
      <c r="G18" s="303"/>
      <c r="H18" s="308" t="s">
        <v>152</v>
      </c>
      <c r="I18" s="308" t="s">
        <v>162</v>
      </c>
      <c r="K18" s="109" t="s">
        <v>436</v>
      </c>
      <c r="L18" s="111">
        <f>14.007+3*15.999</f>
        <v>62.003999999999998</v>
      </c>
      <c r="M18" s="110">
        <f>L18</f>
        <v>62.003999999999998</v>
      </c>
    </row>
    <row r="19" spans="1:13" ht="19.5" thickTop="1" x14ac:dyDescent="0.35">
      <c r="B19" s="6" t="s">
        <v>168</v>
      </c>
      <c r="C19" s="48">
        <v>0</v>
      </c>
      <c r="D19">
        <f t="shared" ref="D19:D23" si="0">C19/M16</f>
        <v>0</v>
      </c>
      <c r="G19" s="6" t="s">
        <v>266</v>
      </c>
      <c r="H19" s="48">
        <v>0</v>
      </c>
      <c r="I19" s="304">
        <f>+H19/M21</f>
        <v>0</v>
      </c>
      <c r="K19" s="109" t="s">
        <v>437</v>
      </c>
      <c r="L19" s="111">
        <f>14.007+2*15.999</f>
        <v>46.005000000000003</v>
      </c>
      <c r="M19" s="110">
        <f>L19</f>
        <v>46.005000000000003</v>
      </c>
    </row>
    <row r="20" spans="1:13" ht="18.75" x14ac:dyDescent="0.35">
      <c r="B20" s="6" t="s">
        <v>169</v>
      </c>
      <c r="C20" s="48">
        <v>0</v>
      </c>
      <c r="D20">
        <f t="shared" si="0"/>
        <v>0</v>
      </c>
      <c r="G20" s="6" t="s">
        <v>166</v>
      </c>
      <c r="H20" s="2">
        <f>I20*L14</f>
        <v>0</v>
      </c>
      <c r="I20" s="2">
        <f>((I19)/(1+(2*POWER(10,(H17-10.33)))))</f>
        <v>0</v>
      </c>
      <c r="K20" s="109" t="s">
        <v>426</v>
      </c>
      <c r="L20" s="301">
        <v>18.998000000000001</v>
      </c>
      <c r="M20" s="110">
        <f>L20</f>
        <v>18.998000000000001</v>
      </c>
    </row>
    <row r="21" spans="1:13" ht="18.75" x14ac:dyDescent="0.35">
      <c r="B21" s="6" t="s">
        <v>273</v>
      </c>
      <c r="C21" s="48">
        <v>0</v>
      </c>
      <c r="D21">
        <f t="shared" si="0"/>
        <v>0</v>
      </c>
      <c r="G21" s="27" t="s">
        <v>167</v>
      </c>
      <c r="H21" s="5">
        <f>+I21*L15</f>
        <v>0</v>
      </c>
      <c r="I21" s="5">
        <f>((I20)*POWER(10,(H17-10.33)))</f>
        <v>0</v>
      </c>
      <c r="K21" s="300" t="s">
        <v>429</v>
      </c>
      <c r="L21" s="301">
        <f>+L7+L15</f>
        <v>100.059</v>
      </c>
      <c r="M21" s="110">
        <f>Tabla5[[#This Row],[Masa Molecular Relativa]]/2</f>
        <v>50.029499999999999</v>
      </c>
    </row>
    <row r="22" spans="1:13" ht="19.5" thickBot="1" x14ac:dyDescent="0.4">
      <c r="B22" s="6" t="s">
        <v>274</v>
      </c>
      <c r="C22" s="48">
        <v>0</v>
      </c>
      <c r="D22">
        <f t="shared" si="0"/>
        <v>0</v>
      </c>
      <c r="G22" s="165"/>
      <c r="H22" s="165"/>
      <c r="I22" s="348"/>
      <c r="K22" s="300"/>
      <c r="L22" s="301"/>
      <c r="M22" s="110"/>
    </row>
    <row r="23" spans="1:13" ht="18.75" thickTop="1" thickBot="1" x14ac:dyDescent="0.3">
      <c r="B23" s="165" t="s">
        <v>170</v>
      </c>
      <c r="C23" s="415">
        <v>0</v>
      </c>
      <c r="D23" s="302">
        <f t="shared" si="0"/>
        <v>0</v>
      </c>
      <c r="G23" s="303"/>
      <c r="H23" s="308" t="s">
        <v>152</v>
      </c>
      <c r="I23" s="349" t="s">
        <v>162</v>
      </c>
      <c r="K23" s="300"/>
      <c r="L23" s="301"/>
      <c r="M23" s="110"/>
    </row>
    <row r="24" spans="1:13" ht="20.25" thickTop="1" thickBot="1" x14ac:dyDescent="0.4">
      <c r="B24" s="169" t="s">
        <v>7</v>
      </c>
      <c r="C24" s="303">
        <f>SUM(C17:C23)</f>
        <v>0</v>
      </c>
      <c r="D24" s="169">
        <f>SUM(D17:D23)</f>
        <v>0</v>
      </c>
      <c r="G24" s="6" t="s">
        <v>166</v>
      </c>
      <c r="H24" s="48">
        <v>0</v>
      </c>
      <c r="I24" s="2">
        <f>H24/M14</f>
        <v>0</v>
      </c>
    </row>
    <row r="25" spans="1:13" ht="19.5" thickTop="1" x14ac:dyDescent="0.35">
      <c r="G25" s="6" t="s">
        <v>167</v>
      </c>
      <c r="H25" s="2">
        <f>+I25*L15</f>
        <v>0</v>
      </c>
      <c r="I25" s="2">
        <f>((I24)*POWER(10,(H17-10.33)))</f>
        <v>0</v>
      </c>
    </row>
    <row r="26" spans="1:13" ht="15.75" thickBot="1" x14ac:dyDescent="0.3">
      <c r="A26" s="167" t="s">
        <v>171</v>
      </c>
      <c r="B26" s="167"/>
      <c r="C26" s="167"/>
      <c r="D26" s="167"/>
    </row>
    <row r="27" spans="1:13" ht="15.75" thickTop="1" x14ac:dyDescent="0.25">
      <c r="C27" s="6" t="s">
        <v>222</v>
      </c>
      <c r="D27" s="2">
        <f>ABS(D12-D24)</f>
        <v>0</v>
      </c>
      <c r="E27" s="67" t="s">
        <v>162</v>
      </c>
    </row>
    <row r="29" spans="1:13" x14ac:dyDescent="0.25">
      <c r="A29" s="69" t="s">
        <v>223</v>
      </c>
    </row>
    <row r="30" spans="1:13" x14ac:dyDescent="0.25">
      <c r="A30" s="69" t="s">
        <v>224</v>
      </c>
    </row>
  </sheetData>
  <sheetProtection algorithmName="SHA-512" hashValue="h9MzUGO4bBsjbm+j/wtvJfdJoCsLAAN83pG4lVw4hbh/nuo/afisIK/giOtvBRE+eU94aOwWgRWOv+aYAlKgLA==" saltValue="f0fKgDI/AWASZkYkdDxXpA==" spinCount="100000" sheet="1" autoFilter="0"/>
  <conditionalFormatting sqref="D27">
    <cfRule type="cellIs" dxfId="2" priority="6" operator="greaterThan">
      <formula>0.5</formula>
    </cfRule>
  </conditionalFormatting>
  <conditionalFormatting sqref="A29:A30">
    <cfRule type="expression" dxfId="1" priority="8">
      <formula>$D$27&gt;0.5</formula>
    </cfRule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300" verticalDpi="300" r:id="rId1"/>
  <headerFooter>
    <oddHeader>&amp;C&amp;G</oddHeader>
    <oddFooter>&amp;R&amp;D</oddFooter>
  </headerFooter>
  <ignoredErrors>
    <ignoredError sqref="D11" unlockedFormula="1"/>
  </ignoredErrors>
  <legacyDrawingHF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7"/>
  <sheetViews>
    <sheetView showRuler="0" zoomScale="90" zoomScaleNormal="90" workbookViewId="0">
      <selection activeCell="O7" sqref="O7"/>
    </sheetView>
  </sheetViews>
  <sheetFormatPr baseColWidth="10" defaultRowHeight="15" x14ac:dyDescent="0.25"/>
  <cols>
    <col min="1" max="1" width="8" bestFit="1" customWidth="1"/>
    <col min="2" max="2" width="6.5703125" customWidth="1"/>
    <col min="3" max="3" width="14.85546875" customWidth="1"/>
    <col min="4" max="4" width="18" bestFit="1" customWidth="1"/>
    <col min="5" max="6" width="14.85546875" bestFit="1" customWidth="1"/>
    <col min="7" max="9" width="11.42578125" style="310"/>
    <col min="11" max="11" width="11.42578125" customWidth="1"/>
    <col min="12" max="12" width="37" bestFit="1" customWidth="1"/>
    <col min="13" max="13" width="17.42578125" bestFit="1" customWidth="1"/>
    <col min="14" max="14" width="13.140625" bestFit="1" customWidth="1"/>
    <col min="15" max="15" width="14.7109375" bestFit="1" customWidth="1"/>
    <col min="16" max="16" width="13.42578125" bestFit="1" customWidth="1"/>
    <col min="17" max="17" width="14" bestFit="1" customWidth="1"/>
    <col min="18" max="18" width="17.85546875" customWidth="1"/>
    <col min="19" max="20" width="12.85546875" bestFit="1" customWidth="1"/>
    <col min="21" max="21" width="16.42578125" bestFit="1" customWidth="1"/>
    <col min="22" max="22" width="12.7109375" bestFit="1" customWidth="1"/>
    <col min="23" max="23" width="17.7109375" customWidth="1"/>
    <col min="24" max="24" width="13.5703125" bestFit="1" customWidth="1"/>
    <col min="28" max="28" width="13" bestFit="1" customWidth="1"/>
  </cols>
  <sheetData>
    <row r="1" spans="1:19" x14ac:dyDescent="0.25">
      <c r="A1" s="4"/>
      <c r="B1" s="4"/>
      <c r="C1" s="4"/>
      <c r="D1" s="4"/>
      <c r="E1" s="4"/>
      <c r="F1" s="4"/>
      <c r="G1" s="359"/>
      <c r="H1" s="359"/>
      <c r="I1" s="359"/>
    </row>
    <row r="2" spans="1:19" ht="15.75" thickBot="1" x14ac:dyDescent="0.3">
      <c r="A2" s="163"/>
      <c r="B2" s="163"/>
      <c r="C2" s="163"/>
      <c r="D2" s="163"/>
      <c r="E2" s="163"/>
      <c r="F2" s="163"/>
      <c r="G2" s="360"/>
      <c r="H2" s="359"/>
      <c r="I2" s="359"/>
    </row>
    <row r="3" spans="1:19" ht="15.75" thickTop="1" x14ac:dyDescent="0.25"/>
    <row r="4" spans="1:19" ht="15.75" thickBot="1" x14ac:dyDescent="0.3"/>
    <row r="5" spans="1:19" ht="18.75" thickTop="1" x14ac:dyDescent="0.35">
      <c r="A5" s="316"/>
      <c r="B5" s="317"/>
      <c r="C5" s="318" t="s">
        <v>286</v>
      </c>
      <c r="D5" s="319">
        <f>'Informe Agua'!I13</f>
        <v>0</v>
      </c>
      <c r="E5" s="320" t="s">
        <v>154</v>
      </c>
      <c r="F5" s="321"/>
      <c r="L5" s="173"/>
      <c r="M5" s="174"/>
      <c r="N5" s="181"/>
      <c r="O5" s="178" t="s">
        <v>382</v>
      </c>
      <c r="P5" s="183" t="s">
        <v>387</v>
      </c>
      <c r="Q5" s="178">
        <v>4.3</v>
      </c>
      <c r="R5" s="181"/>
      <c r="S5" s="179" t="s">
        <v>306</v>
      </c>
    </row>
    <row r="6" spans="1:19" ht="18.75" x14ac:dyDescent="0.35">
      <c r="A6" s="322"/>
      <c r="B6" s="104"/>
      <c r="C6" s="118" t="s">
        <v>281</v>
      </c>
      <c r="D6" s="124">
        <f>'Informe Agua'!H17</f>
        <v>0</v>
      </c>
      <c r="E6" s="4"/>
      <c r="F6" s="323"/>
      <c r="L6" s="175" t="s">
        <v>388</v>
      </c>
      <c r="M6" s="104" t="s">
        <v>294</v>
      </c>
      <c r="N6" s="182" t="s">
        <v>300</v>
      </c>
      <c r="O6" s="4">
        <f>POWER(10,(D10-6.352))</f>
        <v>4.4463126746910741E-7</v>
      </c>
      <c r="P6" s="180" t="s">
        <v>317</v>
      </c>
      <c r="Q6" s="4">
        <f>POWER(10,(Q5-6.352))</f>
        <v>8.8715601203795957E-3</v>
      </c>
      <c r="R6" s="182" t="s">
        <v>307</v>
      </c>
      <c r="S6" s="172">
        <f>POWER(10,(D11-6.352))</f>
        <v>0.28054336379517103</v>
      </c>
    </row>
    <row r="7" spans="1:19" ht="18.75" x14ac:dyDescent="0.35">
      <c r="A7" s="322"/>
      <c r="B7" s="104"/>
      <c r="C7" s="118" t="s">
        <v>201</v>
      </c>
      <c r="D7" s="386" t="s">
        <v>292</v>
      </c>
      <c r="E7" s="95"/>
      <c r="F7" s="324"/>
      <c r="L7" s="175" t="s">
        <v>389</v>
      </c>
      <c r="M7" s="104" t="s">
        <v>295</v>
      </c>
      <c r="N7" s="184" t="s">
        <v>301</v>
      </c>
      <c r="O7" s="95">
        <f>POWER(10,(D10-10.329))</f>
        <v>4.6881338214526346E-11</v>
      </c>
      <c r="P7" s="185" t="s">
        <v>318</v>
      </c>
      <c r="Q7" s="95">
        <f>POWER(10,(Q5-10.329))</f>
        <v>9.3540567414754839E-7</v>
      </c>
      <c r="R7" s="184" t="s">
        <v>308</v>
      </c>
      <c r="S7" s="186">
        <f>POWER(10,(D11-10.329))</f>
        <v>2.9580124665515393E-5</v>
      </c>
    </row>
    <row r="8" spans="1:19" x14ac:dyDescent="0.25">
      <c r="A8" s="322"/>
      <c r="B8" s="104"/>
      <c r="C8" s="118" t="s">
        <v>284</v>
      </c>
      <c r="D8" s="387">
        <v>0</v>
      </c>
      <c r="E8" s="4" t="s">
        <v>5</v>
      </c>
      <c r="F8" s="323"/>
      <c r="G8" s="309"/>
      <c r="H8" s="309"/>
      <c r="I8" s="309"/>
      <c r="L8" s="175" t="s">
        <v>383</v>
      </c>
      <c r="M8" s="104" t="s">
        <v>296</v>
      </c>
      <c r="N8" s="182" t="s">
        <v>302</v>
      </c>
      <c r="O8" s="4">
        <f>1+O6+(O6*O7)</f>
        <v>1.0000004446312674</v>
      </c>
      <c r="P8" s="180" t="s">
        <v>319</v>
      </c>
      <c r="Q8" s="4">
        <f>1+Q6+(Q6*Q7)</f>
        <v>1.0088715684188871</v>
      </c>
      <c r="R8" s="182" t="s">
        <v>309</v>
      </c>
      <c r="S8" s="172">
        <f>1+S6+(S6*S7)</f>
        <v>1.2805516623028463</v>
      </c>
    </row>
    <row r="9" spans="1:19" ht="18" x14ac:dyDescent="0.35">
      <c r="A9" s="322"/>
      <c r="B9" s="104"/>
      <c r="C9" s="118" t="s">
        <v>285</v>
      </c>
      <c r="D9" s="103">
        <f>IF(D7="S/diluir",D5,VLOOKUP(D7,'Aguas del Mundo'!B50:N52,12,FALSE)*(D8/100)+(D5*(1-(D8/100))))</f>
        <v>0</v>
      </c>
      <c r="E9" s="120" t="s">
        <v>154</v>
      </c>
      <c r="F9" s="325"/>
      <c r="G9" s="361"/>
      <c r="H9" s="361"/>
      <c r="I9" s="361"/>
      <c r="L9" s="175" t="s">
        <v>384</v>
      </c>
      <c r="M9" s="104" t="s">
        <v>297</v>
      </c>
      <c r="N9" s="184" t="s">
        <v>303</v>
      </c>
      <c r="O9" s="95">
        <f>1/O8</f>
        <v>0.99999955536893037</v>
      </c>
      <c r="P9" s="185" t="s">
        <v>320</v>
      </c>
      <c r="Q9" s="95">
        <f>1/Q8</f>
        <v>0.99120644421292325</v>
      </c>
      <c r="R9" s="184" t="s">
        <v>310</v>
      </c>
      <c r="S9" s="186">
        <f>1/S8</f>
        <v>0.7809134371054397</v>
      </c>
    </row>
    <row r="10" spans="1:19" x14ac:dyDescent="0.25">
      <c r="A10" s="322"/>
      <c r="B10" s="104"/>
      <c r="C10" s="118" t="s">
        <v>287</v>
      </c>
      <c r="D10" s="171">
        <f>IF(D7="S/diluir",D6,(6.5*(D8/100))+(D6*(1-(D8/100))))</f>
        <v>0</v>
      </c>
      <c r="E10" s="4"/>
      <c r="F10" s="323"/>
      <c r="L10" s="175" t="s">
        <v>385</v>
      </c>
      <c r="M10" s="104" t="s">
        <v>298</v>
      </c>
      <c r="N10" s="182" t="s">
        <v>304</v>
      </c>
      <c r="O10" s="4">
        <f>O6*O9</f>
        <v>4.4463106977223135E-7</v>
      </c>
      <c r="P10" s="180" t="s">
        <v>321</v>
      </c>
      <c r="Q10" s="4">
        <f>Q6*Q9</f>
        <v>8.7935475615426324E-3</v>
      </c>
      <c r="R10" s="182" t="s">
        <v>311</v>
      </c>
      <c r="S10" s="172">
        <f>S6*S9</f>
        <v>0.21908008247840879</v>
      </c>
    </row>
    <row r="11" spans="1:19" x14ac:dyDescent="0.25">
      <c r="A11" s="322"/>
      <c r="B11" s="104"/>
      <c r="C11" s="118" t="s">
        <v>519</v>
      </c>
      <c r="D11" s="388">
        <v>5.8</v>
      </c>
      <c r="E11" s="95"/>
      <c r="F11" s="324"/>
      <c r="L11" s="176" t="s">
        <v>386</v>
      </c>
      <c r="M11" s="177" t="s">
        <v>299</v>
      </c>
      <c r="N11" s="187" t="s">
        <v>305</v>
      </c>
      <c r="O11" s="188">
        <f>O10*O7</f>
        <v>2.084489956267864E-17</v>
      </c>
      <c r="P11" s="189" t="s">
        <v>322</v>
      </c>
      <c r="Q11" s="188">
        <f>Q10*Q7</f>
        <v>8.2255342849533158E-9</v>
      </c>
      <c r="R11" s="187" t="s">
        <v>312</v>
      </c>
      <c r="S11" s="190">
        <f>S10*S7</f>
        <v>6.4804161514427268E-6</v>
      </c>
    </row>
    <row r="12" spans="1:19" ht="15.75" thickBot="1" x14ac:dyDescent="0.3">
      <c r="A12" s="331"/>
      <c r="B12" s="167"/>
      <c r="C12" s="312" t="s">
        <v>288</v>
      </c>
      <c r="D12" s="389">
        <v>1</v>
      </c>
      <c r="E12" s="163" t="s">
        <v>289</v>
      </c>
      <c r="F12" s="330"/>
    </row>
    <row r="13" spans="1:19" ht="15.75" thickTop="1" x14ac:dyDescent="0.25">
      <c r="A13" s="316"/>
      <c r="B13" s="317"/>
      <c r="C13" s="318"/>
      <c r="D13" s="332"/>
      <c r="E13" s="333"/>
      <c r="F13" s="334"/>
      <c r="L13" s="194" t="s">
        <v>391</v>
      </c>
      <c r="M13" s="357">
        <f>D9/50</f>
        <v>0</v>
      </c>
    </row>
    <row r="14" spans="1:19" x14ac:dyDescent="0.25">
      <c r="A14" s="322"/>
      <c r="B14" s="104"/>
      <c r="C14" s="118" t="s">
        <v>515</v>
      </c>
      <c r="D14" s="416">
        <f>100-(D17+D20+D23)</f>
        <v>100</v>
      </c>
      <c r="E14" s="95" t="s">
        <v>5</v>
      </c>
      <c r="F14" s="324"/>
      <c r="L14" s="192" t="s">
        <v>392</v>
      </c>
      <c r="M14" s="116">
        <f>+(1000*POWER(10,-D10))</f>
        <v>1000</v>
      </c>
    </row>
    <row r="15" spans="1:19" x14ac:dyDescent="0.25">
      <c r="A15" s="322"/>
      <c r="B15" s="104"/>
      <c r="C15" s="118" t="s">
        <v>522</v>
      </c>
      <c r="D15" s="390" t="s">
        <v>217</v>
      </c>
      <c r="E15" s="122"/>
      <c r="F15" s="323"/>
      <c r="L15" s="195" t="s">
        <v>393</v>
      </c>
      <c r="M15" s="196">
        <f>(1000*POWER(10,-D11))</f>
        <v>1.584893192461111E-3</v>
      </c>
      <c r="S15" s="114"/>
    </row>
    <row r="16" spans="1:19" x14ac:dyDescent="0.25">
      <c r="A16" s="474"/>
      <c r="B16" s="469"/>
      <c r="C16" s="470" t="s">
        <v>282</v>
      </c>
      <c r="D16" s="471">
        <v>0</v>
      </c>
      <c r="E16" s="472" t="s">
        <v>455</v>
      </c>
      <c r="F16" s="473"/>
      <c r="G16" s="309">
        <f>IF(OR(D14&gt;100,D14&lt;0),0,N(D16))</f>
        <v>0</v>
      </c>
      <c r="H16" s="309"/>
      <c r="I16" s="309"/>
      <c r="L16" s="192" t="s">
        <v>390</v>
      </c>
      <c r="M16" s="116">
        <f>(1000*POWER(10,-Q5))</f>
        <v>5.0118723362727241E-2</v>
      </c>
    </row>
    <row r="17" spans="1:20" x14ac:dyDescent="0.25">
      <c r="A17" s="322"/>
      <c r="B17" s="104"/>
      <c r="C17" s="118" t="s">
        <v>516</v>
      </c>
      <c r="D17" s="391">
        <v>0</v>
      </c>
      <c r="E17" s="311" t="s">
        <v>5</v>
      </c>
      <c r="F17" s="323"/>
      <c r="L17" s="195" t="s">
        <v>394</v>
      </c>
      <c r="M17" s="197">
        <f>(M13-M16-M14)/(M19+M20)</f>
        <v>113730.98388982181</v>
      </c>
    </row>
    <row r="18" spans="1:20" x14ac:dyDescent="0.25">
      <c r="A18" s="322"/>
      <c r="B18" s="104"/>
      <c r="C18" s="118" t="s">
        <v>522</v>
      </c>
      <c r="D18" s="386" t="s">
        <v>217</v>
      </c>
      <c r="E18" s="121"/>
      <c r="F18" s="324"/>
      <c r="L18" s="192" t="s">
        <v>395</v>
      </c>
      <c r="M18" s="191">
        <f>M13/(M19+M20)</f>
        <v>0</v>
      </c>
    </row>
    <row r="19" spans="1:20" x14ac:dyDescent="0.25">
      <c r="A19" s="474"/>
      <c r="B19" s="469"/>
      <c r="C19" s="470" t="s">
        <v>282</v>
      </c>
      <c r="D19" s="475">
        <v>95</v>
      </c>
      <c r="E19" s="476" t="s">
        <v>5</v>
      </c>
      <c r="F19" s="477"/>
      <c r="G19" s="309">
        <f>IF(OR(D17&gt;100,D17&lt;0),0,N(D19))</f>
        <v>95</v>
      </c>
      <c r="H19" s="309"/>
      <c r="I19" s="309"/>
      <c r="L19" s="195" t="s">
        <v>398</v>
      </c>
      <c r="M19" s="196">
        <f>Q9-O9</f>
        <v>-8.7931111560071162E-3</v>
      </c>
    </row>
    <row r="20" spans="1:20" x14ac:dyDescent="0.25">
      <c r="A20" s="322"/>
      <c r="B20" s="104"/>
      <c r="C20" s="118" t="s">
        <v>517</v>
      </c>
      <c r="D20" s="386">
        <v>0</v>
      </c>
      <c r="E20" s="338" t="s">
        <v>5</v>
      </c>
      <c r="F20" s="324"/>
      <c r="L20" s="192" t="s">
        <v>399</v>
      </c>
      <c r="M20" s="116">
        <f>O11-Q11</f>
        <v>-8.2255342641084156E-9</v>
      </c>
    </row>
    <row r="21" spans="1:20" x14ac:dyDescent="0.25">
      <c r="A21" s="322"/>
      <c r="B21" s="104"/>
      <c r="C21" s="118" t="s">
        <v>522</v>
      </c>
      <c r="D21" s="391" t="s">
        <v>217</v>
      </c>
      <c r="E21" s="122"/>
      <c r="F21" s="323"/>
      <c r="L21" s="195" t="s">
        <v>400</v>
      </c>
      <c r="M21" s="196">
        <f>S9-O9</f>
        <v>-0.21908611826349067</v>
      </c>
    </row>
    <row r="22" spans="1:20" x14ac:dyDescent="0.25">
      <c r="A22" s="474"/>
      <c r="B22" s="469"/>
      <c r="C22" s="470" t="s">
        <v>282</v>
      </c>
      <c r="D22" s="471">
        <v>95</v>
      </c>
      <c r="E22" s="472" t="s">
        <v>455</v>
      </c>
      <c r="F22" s="473"/>
      <c r="G22" s="309">
        <f>IF(OR(D20&gt;100,D20&lt;0),0,N(D22))</f>
        <v>95</v>
      </c>
      <c r="H22" s="309"/>
      <c r="I22" s="309"/>
      <c r="L22" s="192" t="s">
        <v>401</v>
      </c>
      <c r="M22" s="116">
        <f>O11-S11</f>
        <v>-6.4804161514218822E-6</v>
      </c>
    </row>
    <row r="23" spans="1:20" x14ac:dyDescent="0.25">
      <c r="A23" s="322"/>
      <c r="B23" s="104"/>
      <c r="C23" s="118" t="s">
        <v>518</v>
      </c>
      <c r="D23" s="391">
        <v>0</v>
      </c>
      <c r="E23" s="311" t="s">
        <v>5</v>
      </c>
      <c r="F23" s="323"/>
      <c r="L23" s="195" t="s">
        <v>396</v>
      </c>
      <c r="M23" s="196">
        <f>M17*(M21+M22)+M15-M14</f>
        <v>-25917.615225920381</v>
      </c>
    </row>
    <row r="24" spans="1:20" x14ac:dyDescent="0.25">
      <c r="A24" s="322"/>
      <c r="B24" s="104"/>
      <c r="C24" s="118" t="s">
        <v>522</v>
      </c>
      <c r="D24" s="386" t="s">
        <v>215</v>
      </c>
      <c r="E24" s="121"/>
      <c r="F24" s="324"/>
      <c r="L24" s="193" t="s">
        <v>397</v>
      </c>
      <c r="M24" s="117">
        <f>M18*(M21+M22)+M15-M14</f>
        <v>-999.99841510680756</v>
      </c>
    </row>
    <row r="25" spans="1:20" x14ac:dyDescent="0.25">
      <c r="A25" s="322"/>
      <c r="B25" s="104"/>
      <c r="C25" s="118" t="s">
        <v>282</v>
      </c>
      <c r="D25" s="392">
        <v>1</v>
      </c>
      <c r="E25" s="393" t="s">
        <v>210</v>
      </c>
      <c r="F25" s="326"/>
      <c r="G25" s="309">
        <f>IF(OR(D23&gt;100,D23&lt;0),0,N(D25))</f>
        <v>1</v>
      </c>
      <c r="H25" s="309"/>
      <c r="I25" s="309"/>
    </row>
    <row r="26" spans="1:20" ht="15.75" thickBot="1" x14ac:dyDescent="0.3">
      <c r="A26" s="322"/>
      <c r="B26" s="104"/>
      <c r="C26" s="104"/>
      <c r="D26" s="292"/>
      <c r="E26" s="27" t="str">
        <f>IF(D17+D20+D23&gt;100,"Reduzca el % de ácidos","")</f>
        <v/>
      </c>
      <c r="F26" s="323"/>
      <c r="K26" s="202"/>
      <c r="L26" s="93" t="s">
        <v>214</v>
      </c>
      <c r="M26" s="222" t="s">
        <v>207</v>
      </c>
      <c r="N26" s="93" t="s">
        <v>208</v>
      </c>
      <c r="O26" s="222" t="s">
        <v>209</v>
      </c>
      <c r="P26" s="219" t="s">
        <v>344</v>
      </c>
    </row>
    <row r="27" spans="1:20" ht="15.75" thickTop="1" x14ac:dyDescent="0.25">
      <c r="A27" s="316"/>
      <c r="B27" s="317"/>
      <c r="C27" s="318"/>
      <c r="D27" s="335" t="s">
        <v>497</v>
      </c>
      <c r="E27" s="336" t="s">
        <v>498</v>
      </c>
      <c r="F27" s="337"/>
      <c r="G27" s="374"/>
      <c r="H27" s="374"/>
      <c r="I27" s="374"/>
      <c r="K27" s="204">
        <v>1</v>
      </c>
      <c r="L27" s="199" t="s">
        <v>421</v>
      </c>
      <c r="M27" s="223">
        <v>-7</v>
      </c>
      <c r="N27" s="200">
        <v>20</v>
      </c>
      <c r="O27" s="223">
        <v>20</v>
      </c>
      <c r="P27" s="205">
        <v>36.46</v>
      </c>
      <c r="Q27" s="2"/>
    </row>
    <row r="28" spans="1:20" ht="18" x14ac:dyDescent="0.35">
      <c r="A28" s="322"/>
      <c r="B28" s="104"/>
      <c r="C28" s="118" t="s">
        <v>283</v>
      </c>
      <c r="D28" s="124">
        <f>(M13-M24)*50</f>
        <v>49999.920755340376</v>
      </c>
      <c r="E28" s="5">
        <f>(M13-M23)*50</f>
        <v>1295880.761296019</v>
      </c>
      <c r="F28" s="327" t="s">
        <v>154</v>
      </c>
      <c r="G28" s="374"/>
      <c r="H28" s="374"/>
      <c r="I28" s="374"/>
      <c r="K28" s="206">
        <v>2</v>
      </c>
      <c r="L28" s="201" t="s">
        <v>215</v>
      </c>
      <c r="M28" s="224">
        <v>3.86</v>
      </c>
      <c r="N28" s="201">
        <v>20</v>
      </c>
      <c r="O28" s="224">
        <v>20</v>
      </c>
      <c r="P28" s="207">
        <v>90.08</v>
      </c>
      <c r="Q28" s="2"/>
    </row>
    <row r="29" spans="1:20" x14ac:dyDescent="0.25">
      <c r="A29" s="328" t="s">
        <v>345</v>
      </c>
      <c r="B29" s="118" t="s">
        <v>214</v>
      </c>
      <c r="C29" s="119" t="str">
        <f>L34</f>
        <v>Cítrico</v>
      </c>
      <c r="D29" s="125">
        <f>IFERROR(IF(E16="N",S34/G16,IF(E16="M",T34/G16,IF(E16="%",U34,V34/1000))),0)*$D$12</f>
        <v>-90.588062036468003</v>
      </c>
      <c r="E29" s="103">
        <f>IFERROR(IF(E16="N",X34/G16,IF(E16="M",Y34/G16,IF(E16="%",Z34,AA34/1000))),0)*$D$12</f>
        <v>-2347.8302569831744</v>
      </c>
      <c r="F29" s="324" t="str">
        <f>IF(C29="Cítrico","gr","ml")</f>
        <v>gr</v>
      </c>
      <c r="G29" s="374"/>
      <c r="H29" s="374"/>
      <c r="I29" s="374"/>
      <c r="K29" s="208">
        <v>3</v>
      </c>
      <c r="L29" s="198" t="s">
        <v>293</v>
      </c>
      <c r="M29" s="98">
        <v>2.12</v>
      </c>
      <c r="N29" s="4">
        <v>7.2</v>
      </c>
      <c r="O29" s="98">
        <v>12.44</v>
      </c>
      <c r="P29" s="172">
        <v>98</v>
      </c>
      <c r="Q29" s="2"/>
    </row>
    <row r="30" spans="1:20" x14ac:dyDescent="0.25">
      <c r="A30" s="328"/>
      <c r="B30" s="104"/>
      <c r="C30" s="289" t="str">
        <f>VLOOKUP(K34,K52:R57,7)</f>
        <v>Citrato</v>
      </c>
      <c r="D30" s="362">
        <f>IFERROR(VLOOKUP(K34,K52:R57,8)*T34,0)</f>
        <v>-89173.581288487971</v>
      </c>
      <c r="E30" s="363">
        <f>IFERROR(VLOOKUP(K34,K52:R57,8)*Y34,0)</f>
        <v>-2311170.2311103302</v>
      </c>
      <c r="F30" s="323" t="s">
        <v>152</v>
      </c>
      <c r="G30" s="374" t="str">
        <f>IF(OR(C30="Clorato",C30="Sulfato"),"",IF(E30&gt;VLOOKUP(C30,$Q$53:$S$57,3,FALSE),"Mayor al umbral de detección",""))</f>
        <v/>
      </c>
      <c r="H30" s="374"/>
      <c r="I30" s="374"/>
      <c r="K30" s="206">
        <v>4</v>
      </c>
      <c r="L30" s="201" t="s">
        <v>216</v>
      </c>
      <c r="M30" s="224">
        <v>-1</v>
      </c>
      <c r="N30" s="201">
        <v>1.92</v>
      </c>
      <c r="O30" s="224">
        <v>20</v>
      </c>
      <c r="P30" s="207">
        <v>98.07</v>
      </c>
      <c r="Q30" s="2"/>
      <c r="T30" s="358"/>
    </row>
    <row r="31" spans="1:20" x14ac:dyDescent="0.25">
      <c r="A31" s="328" t="s">
        <v>219</v>
      </c>
      <c r="B31" s="118" t="s">
        <v>214</v>
      </c>
      <c r="C31" s="119" t="str">
        <f>L35</f>
        <v>Cítrico</v>
      </c>
      <c r="D31" s="125">
        <f>IFERROR(IF(E19="N",S35/G19,IF(E19="M",T35/G19,IF(E19="%",U35,V35/1000))),0)*$D$12</f>
        <v>0</v>
      </c>
      <c r="E31" s="103">
        <f>IFERROR(IF(E19="N",X35/G19,IF(E19="M",Y35/G19,IF(E19="%",Z35,AA35/1000))),0)*$D$12</f>
        <v>0</v>
      </c>
      <c r="F31" s="324" t="str">
        <f>IF(C31="Cítrico","gr","ml")</f>
        <v>gr</v>
      </c>
      <c r="G31" s="374"/>
      <c r="H31" s="374"/>
      <c r="I31" s="374"/>
      <c r="K31" s="209">
        <v>5</v>
      </c>
      <c r="L31" s="210" t="s">
        <v>217</v>
      </c>
      <c r="M31" s="100">
        <v>3.14</v>
      </c>
      <c r="N31" s="91">
        <v>4.7699999999999996</v>
      </c>
      <c r="O31" s="100">
        <v>6.39</v>
      </c>
      <c r="P31" s="211">
        <v>192.13</v>
      </c>
      <c r="Q31" s="5"/>
      <c r="R31" s="4"/>
    </row>
    <row r="32" spans="1:20" x14ac:dyDescent="0.25">
      <c r="A32" s="328"/>
      <c r="B32" s="118"/>
      <c r="C32" s="289" t="str">
        <f>VLOOKUP(K35,K52:Q57,7)</f>
        <v>Citrato</v>
      </c>
      <c r="D32" s="124">
        <f>IFERROR(VLOOKUP(K35,K52:R57,8)*T35,0)</f>
        <v>0</v>
      </c>
      <c r="E32" s="5">
        <f>IFERROR(VLOOKUP(K35,K52:R57,8)*Y35,0)</f>
        <v>0</v>
      </c>
      <c r="F32" s="323" t="s">
        <v>152</v>
      </c>
      <c r="G32" s="374" t="str">
        <f t="shared" ref="G32:G36" si="0">IF(OR(C32="Clorato",C32="Sulfato"),"",IF(E32&gt;VLOOKUP(C32,$Q$53:$S$57,3,FALSE),"Mayor al umbral de detección",""))</f>
        <v/>
      </c>
      <c r="H32" s="374"/>
      <c r="I32" s="374"/>
      <c r="K32" s="4"/>
      <c r="L32" s="4"/>
      <c r="M32" s="4"/>
      <c r="N32" s="4"/>
      <c r="O32" s="4"/>
      <c r="P32" s="4"/>
      <c r="Q32" s="5"/>
      <c r="R32" s="4"/>
    </row>
    <row r="33" spans="1:27" x14ac:dyDescent="0.25">
      <c r="A33" s="328" t="s">
        <v>220</v>
      </c>
      <c r="B33" s="118" t="s">
        <v>214</v>
      </c>
      <c r="C33" s="119" t="str">
        <f>L36</f>
        <v>Cítrico</v>
      </c>
      <c r="D33" s="125">
        <f>IFERROR(IF(E22="N",S36/G22,IF(E22="M",T36/G22,IF(E22="%",U36,V36/1000))),0)*$D$12</f>
        <v>0</v>
      </c>
      <c r="E33" s="103">
        <f>IFERROR(IF(E22="N",X36/G22,IF(E22="M",Y36/G22,IF(E22="%",Z36,AA36/1000))),0)*$D$12</f>
        <v>0</v>
      </c>
      <c r="F33" s="324" t="str">
        <f>IF(C33="Cítrico","gr","ml")</f>
        <v>gr</v>
      </c>
      <c r="G33" s="374"/>
      <c r="H33" s="374"/>
      <c r="I33" s="374"/>
      <c r="K33" s="4"/>
      <c r="L33" t="s">
        <v>404</v>
      </c>
      <c r="M33" t="s">
        <v>207</v>
      </c>
      <c r="N33" t="s">
        <v>208</v>
      </c>
      <c r="O33" t="s">
        <v>209</v>
      </c>
      <c r="P33" t="s">
        <v>344</v>
      </c>
      <c r="Q33" t="s">
        <v>2</v>
      </c>
      <c r="R33" t="s">
        <v>397</v>
      </c>
      <c r="S33" t="s">
        <v>402</v>
      </c>
      <c r="T33" t="s">
        <v>403</v>
      </c>
      <c r="U33" t="s">
        <v>5</v>
      </c>
      <c r="V33" t="s">
        <v>343</v>
      </c>
      <c r="W33" t="s">
        <v>396</v>
      </c>
      <c r="X33" t="s">
        <v>402</v>
      </c>
      <c r="Y33" t="s">
        <v>403</v>
      </c>
      <c r="Z33" t="s">
        <v>5</v>
      </c>
      <c r="AA33" t="s">
        <v>343</v>
      </c>
    </row>
    <row r="34" spans="1:27" x14ac:dyDescent="0.25">
      <c r="A34" s="328"/>
      <c r="B34" s="104"/>
      <c r="C34" s="289" t="str">
        <f>VLOOKUP(K36,K52:Q57,7)</f>
        <v>Citrato</v>
      </c>
      <c r="D34" s="124">
        <f>IFERROR(VLOOKUP(K36,K52:R57,8)*T36,0)</f>
        <v>0</v>
      </c>
      <c r="E34" s="5">
        <f>IFERROR(VLOOKUP(K36,K52:R57,8)*Y36,0)</f>
        <v>0</v>
      </c>
      <c r="F34" s="323" t="s">
        <v>152</v>
      </c>
      <c r="G34" s="374" t="str">
        <f t="shared" si="0"/>
        <v/>
      </c>
      <c r="H34" s="374"/>
      <c r="I34" s="374"/>
      <c r="K34">
        <f>INDEX($K$27:$K$31,MATCH($D$15,$L$27:$L$31,0))</f>
        <v>5</v>
      </c>
      <c r="L34" t="str">
        <f>VLOOKUP($K34,$K$27:$Q$31,2,FALSE)</f>
        <v>Cítrico</v>
      </c>
      <c r="M34">
        <f>VLOOKUP($K34,$K$27:$Q$31,3,FALSE)</f>
        <v>3.14</v>
      </c>
      <c r="N34">
        <f>VLOOKUP($K34,$K$27:$Q$31,4,FALSE)</f>
        <v>4.7699999999999996</v>
      </c>
      <c r="O34">
        <f>VLOOKUP($K34,$K$27:$Q$31,5,FALSE)</f>
        <v>6.39</v>
      </c>
      <c r="P34">
        <f>VLOOKUP($K34,$K$27:$Q$31,6,FALSE)</f>
        <v>192.13</v>
      </c>
      <c r="Q34" s="2">
        <f>VLOOKUP($K34,$K$53:$P$57,3,FALSE)</f>
        <v>1480</v>
      </c>
      <c r="R34" s="113">
        <f>(D14/100)*$M$24</f>
        <v>-999.99841510680756</v>
      </c>
      <c r="S34" s="115">
        <f>R34</f>
        <v>-999.99841510680756</v>
      </c>
      <c r="T34" s="115">
        <f>(R34/$N$49)</f>
        <v>-471.4935826600115</v>
      </c>
      <c r="U34" s="113" t="e">
        <f>(T34*$P$34)/(($G$16/100)*$Q$34)</f>
        <v>#DIV/0!</v>
      </c>
      <c r="V34" s="113">
        <f>T34*$P$34</f>
        <v>-90588.062036468007</v>
      </c>
      <c r="W34" s="113">
        <f>(D14/100)*$M$23</f>
        <v>-25917.615225920381</v>
      </c>
      <c r="X34" s="115">
        <f>W34</f>
        <v>-25917.615225920381</v>
      </c>
      <c r="Y34" s="115">
        <f>(W34/$N49)</f>
        <v>-12220.008624281343</v>
      </c>
      <c r="Z34" s="2" t="e">
        <f>(Y34*$P$34)/(($G$16/100)*$Q$34)</f>
        <v>#DIV/0!</v>
      </c>
      <c r="AA34" s="2">
        <f>Y34*$P$34</f>
        <v>-2347830.2569831745</v>
      </c>
    </row>
    <row r="35" spans="1:27" x14ac:dyDescent="0.25">
      <c r="A35" s="328" t="s">
        <v>346</v>
      </c>
      <c r="B35" s="118" t="s">
        <v>214</v>
      </c>
      <c r="C35" s="119" t="str">
        <f>L37</f>
        <v>Láctico</v>
      </c>
      <c r="D35" s="125">
        <f>IFERROR(IF(E25="N",S37/G25,IF(E25="M",T37/G25,IF(E25="%",U37,V37/1000))),0)*$D$12</f>
        <v>0</v>
      </c>
      <c r="E35" s="103">
        <f>IFERROR(IF(E25="N",X37/G25,IF(E25="M",Y37/G25,IF(E25="%",Z37,AA37/1000))),0)*$D$12</f>
        <v>0</v>
      </c>
      <c r="F35" s="324" t="str">
        <f>IF(C35="Cítrico","gr","ml")</f>
        <v>ml</v>
      </c>
      <c r="G35" s="374"/>
      <c r="H35" s="374"/>
      <c r="I35" s="374"/>
      <c r="K35">
        <f>INDEX($K$27:$K$31,MATCH($D$18,$L$27:$L$31,0))</f>
        <v>5</v>
      </c>
      <c r="L35" t="str">
        <f>VLOOKUP($K35,$K$27:$Q$31,2,FALSE)</f>
        <v>Cítrico</v>
      </c>
      <c r="M35">
        <f>VLOOKUP($K35,$K$27:$Q$31,3,FALSE)</f>
        <v>3.14</v>
      </c>
      <c r="N35">
        <f>VLOOKUP($K35,$K$27:$Q$31,4,FALSE)</f>
        <v>4.7699999999999996</v>
      </c>
      <c r="O35">
        <f>VLOOKUP($K35,$K$27:$Q$31,5,FALSE)</f>
        <v>6.39</v>
      </c>
      <c r="P35">
        <f>VLOOKUP($K35,$K$27:$Q$31,6,FALSE)</f>
        <v>192.13</v>
      </c>
      <c r="Q35" s="2">
        <f>VLOOKUP($K35,$K$53:$P$57,4,FALSE)</f>
        <v>1480</v>
      </c>
      <c r="R35" s="113">
        <f>(D17/100)*$M$24</f>
        <v>0</v>
      </c>
      <c r="S35" s="115">
        <f t="shared" ref="S35:S37" si="1">R35</f>
        <v>0</v>
      </c>
      <c r="T35" s="115">
        <f>(R35/$O$49)</f>
        <v>0</v>
      </c>
      <c r="U35" s="113">
        <f>(T35*$P$35)/(($G$19/100)*$Q$35)</f>
        <v>0</v>
      </c>
      <c r="V35" s="113">
        <f>T35*$P$35</f>
        <v>0</v>
      </c>
      <c r="W35" s="113">
        <f>(D17/100)*$M$23</f>
        <v>0</v>
      </c>
      <c r="X35" s="115">
        <f t="shared" ref="X35:X37" si="2">W35</f>
        <v>0</v>
      </c>
      <c r="Y35" s="115">
        <f>(W35/$O$49)</f>
        <v>0</v>
      </c>
      <c r="Z35" s="2">
        <f>(Y35*$P$35)/(($G$19/100)*$Q$35)</f>
        <v>0</v>
      </c>
      <c r="AA35" s="2">
        <f>Y35*$P$35</f>
        <v>0</v>
      </c>
    </row>
    <row r="36" spans="1:27" ht="15.75" thickBot="1" x14ac:dyDescent="0.3">
      <c r="A36" s="329"/>
      <c r="B36" s="312"/>
      <c r="C36" s="313" t="str">
        <f>VLOOKUP(K37,K52:Q57,7)</f>
        <v>Lactato</v>
      </c>
      <c r="D36" s="314">
        <f>IFERROR(VLOOKUP(K37,K52:R57,8)*T37,0)</f>
        <v>0</v>
      </c>
      <c r="E36" s="315">
        <f>IFERROR(VLOOKUP(K37,K52:R57,8)*Y37,0)</f>
        <v>0</v>
      </c>
      <c r="F36" s="330" t="s">
        <v>152</v>
      </c>
      <c r="G36" s="374" t="str">
        <f t="shared" si="0"/>
        <v/>
      </c>
      <c r="H36" s="374"/>
      <c r="I36" s="374"/>
      <c r="K36">
        <f>INDEX($K$27:$K$31,MATCH($D$21,$L$27:$L$31,0))</f>
        <v>5</v>
      </c>
      <c r="L36" t="str">
        <f>VLOOKUP($K36,$K$27:$Q$31,2,FALSE)</f>
        <v>Cítrico</v>
      </c>
      <c r="M36">
        <f>VLOOKUP($K36,$K$27:$Q$31,3,FALSE)</f>
        <v>3.14</v>
      </c>
      <c r="N36">
        <f>VLOOKUP($K36,$K$27:$Q$31,4,FALSE)</f>
        <v>4.7699999999999996</v>
      </c>
      <c r="O36">
        <f>VLOOKUP($K36,$K$27:$Q$31,5,FALSE)</f>
        <v>6.39</v>
      </c>
      <c r="P36">
        <f>VLOOKUP($K36,$K$27:$Q$31,6,FALSE)</f>
        <v>192.13</v>
      </c>
      <c r="Q36" s="2">
        <f>VLOOKUP($K36,$K$53:$P$57,5,FALSE)</f>
        <v>1480</v>
      </c>
      <c r="R36" s="113">
        <f>(D20/100)*$M$24</f>
        <v>0</v>
      </c>
      <c r="S36" s="115">
        <f t="shared" si="1"/>
        <v>0</v>
      </c>
      <c r="T36" s="115">
        <f>(R36/$P$49)</f>
        <v>0</v>
      </c>
      <c r="U36" s="113">
        <f>(T36*$P$36)/(($G$22/100)*$Q$36)</f>
        <v>0</v>
      </c>
      <c r="V36" s="113">
        <f>T36*$P$36</f>
        <v>0</v>
      </c>
      <c r="W36" s="113">
        <f>(D20/100)*$M$23</f>
        <v>0</v>
      </c>
      <c r="X36" s="115">
        <f t="shared" si="2"/>
        <v>0</v>
      </c>
      <c r="Y36" s="115">
        <f>(W36/$P$49)</f>
        <v>0</v>
      </c>
      <c r="Z36" s="2">
        <f>(Y36*$P$36)/(($G$22/100)*$Q$36)</f>
        <v>0</v>
      </c>
      <c r="AA36" s="2">
        <f>Y36*$P$36</f>
        <v>0</v>
      </c>
    </row>
    <row r="37" spans="1:27" ht="15.75" thickTop="1" x14ac:dyDescent="0.25">
      <c r="K37">
        <f>INDEX($K$27:$K$31,MATCH($D$24,$L$27:$L$31,0))</f>
        <v>2</v>
      </c>
      <c r="L37" t="str">
        <f>VLOOKUP($K37,$K$27:$Q$31,2,FALSE)</f>
        <v>Láctico</v>
      </c>
      <c r="M37">
        <f>VLOOKUP($K37,$K$27:$Q$31,3,FALSE)</f>
        <v>3.86</v>
      </c>
      <c r="N37">
        <f>VLOOKUP($K37,$K$27:$Q$31,4,FALSE)</f>
        <v>20</v>
      </c>
      <c r="O37">
        <f>VLOOKUP($K37,$K$27:$Q$31,5,FALSE)</f>
        <v>20</v>
      </c>
      <c r="P37">
        <f>VLOOKUP($K37,$K$27:$Q$31,6,FALSE)</f>
        <v>90.08</v>
      </c>
      <c r="Q37" s="2">
        <f>VLOOKUP($K37,$K$53:$P$57,6,FALSE)</f>
        <v>1000.4518097880699</v>
      </c>
      <c r="R37" s="113">
        <f>(D23/100)*$M$24</f>
        <v>0</v>
      </c>
      <c r="S37" s="115">
        <f t="shared" si="1"/>
        <v>0</v>
      </c>
      <c r="T37" s="115">
        <f>(R37/$Q$49)</f>
        <v>0</v>
      </c>
      <c r="U37" s="113">
        <f>(T37*$P$37)/(($G$25/100)*$Q$37)</f>
        <v>0</v>
      </c>
      <c r="V37" s="113">
        <f>T37*$P$37</f>
        <v>0</v>
      </c>
      <c r="W37" s="113">
        <f>(D23/100)*$M$23</f>
        <v>0</v>
      </c>
      <c r="X37" s="115">
        <f t="shared" si="2"/>
        <v>0</v>
      </c>
      <c r="Y37" s="115">
        <f>(W37/$Q$49)</f>
        <v>0</v>
      </c>
      <c r="Z37" s="2">
        <f>(Y37*$P$37)/(($G$25/100)*$Q$37)</f>
        <v>0</v>
      </c>
      <c r="AA37" s="2">
        <f>Y37*$P$37</f>
        <v>0</v>
      </c>
    </row>
    <row r="40" spans="1:27" x14ac:dyDescent="0.25">
      <c r="C40" s="6"/>
      <c r="L40" s="212"/>
      <c r="M40" s="93"/>
      <c r="N40" s="222" t="s">
        <v>314</v>
      </c>
      <c r="O40" s="222" t="s">
        <v>313</v>
      </c>
      <c r="P40" s="93" t="s">
        <v>315</v>
      </c>
      <c r="Q40" s="222" t="s">
        <v>316</v>
      </c>
    </row>
    <row r="41" spans="1:27" x14ac:dyDescent="0.25">
      <c r="C41" s="6"/>
      <c r="L41" s="213" t="s">
        <v>330</v>
      </c>
      <c r="M41" s="214" t="s">
        <v>323</v>
      </c>
      <c r="N41" s="223">
        <f>POWER(10,($D$11-$M34))</f>
        <v>457.08818961487481</v>
      </c>
      <c r="O41" s="223">
        <f>POWER(10,($D$11-$M35))</f>
        <v>457.08818961487481</v>
      </c>
      <c r="P41" s="200">
        <f>POWER(10,($D$11-$M36))</f>
        <v>457.08818961487481</v>
      </c>
      <c r="Q41" s="223">
        <f>POWER(10,($D$11-$M37))</f>
        <v>87.096358995608071</v>
      </c>
    </row>
    <row r="42" spans="1:27" x14ac:dyDescent="0.25">
      <c r="L42" s="220" t="s">
        <v>331</v>
      </c>
      <c r="M42" s="221" t="s">
        <v>324</v>
      </c>
      <c r="N42" s="224">
        <f>POWER(10,($D$11-$N34))</f>
        <v>10.715193052376073</v>
      </c>
      <c r="O42" s="224">
        <f>POWER(10,($D$11-$N35))</f>
        <v>10.715193052376073</v>
      </c>
      <c r="P42" s="201">
        <f>POWER(10,($D$11-$N36))</f>
        <v>10.715193052376073</v>
      </c>
      <c r="Q42" s="224">
        <f>POWER(10,($D$11-$N37))</f>
        <v>6.3095734448019366E-15</v>
      </c>
    </row>
    <row r="43" spans="1:27" x14ac:dyDescent="0.25">
      <c r="L43" s="215" t="s">
        <v>332</v>
      </c>
      <c r="M43" s="216" t="s">
        <v>325</v>
      </c>
      <c r="N43" s="98">
        <f>POWER(10,($D$11-$O34))</f>
        <v>0.25703957827688645</v>
      </c>
      <c r="O43" s="98">
        <f>POWER(10,($D$11-$O35))</f>
        <v>0.25703957827688645</v>
      </c>
      <c r="P43" s="4">
        <f>POWER(10,($D$11-$O36))</f>
        <v>0.25703957827688645</v>
      </c>
      <c r="Q43" s="98">
        <f>POWER(10,($D$11-$O37))</f>
        <v>6.3095734448019366E-15</v>
      </c>
    </row>
    <row r="44" spans="1:27" x14ac:dyDescent="0.25">
      <c r="L44" s="220" t="s">
        <v>334</v>
      </c>
      <c r="M44" s="221" t="s">
        <v>326</v>
      </c>
      <c r="N44" s="224">
        <f>1+N41+N41*N42+N43*N42*N41</f>
        <v>6614.8017950935064</v>
      </c>
      <c r="O44" s="224">
        <f t="shared" ref="O44:Q44" si="3">1+O41+O41*O42+O43*O42*O41</f>
        <v>6614.8017950935064</v>
      </c>
      <c r="P44" s="201">
        <f t="shared" si="3"/>
        <v>6614.8017950935064</v>
      </c>
      <c r="Q44" s="224">
        <f t="shared" si="3"/>
        <v>88.096358995608625</v>
      </c>
    </row>
    <row r="45" spans="1:27" x14ac:dyDescent="0.25">
      <c r="L45" s="215" t="s">
        <v>333</v>
      </c>
      <c r="M45" s="216" t="s">
        <v>327</v>
      </c>
      <c r="N45" s="98">
        <f>1/N44</f>
        <v>1.5117610942503895E-4</v>
      </c>
      <c r="O45" s="98">
        <f t="shared" ref="O45:Q45" si="4">1/O44</f>
        <v>1.5117610942503895E-4</v>
      </c>
      <c r="P45" s="4">
        <f t="shared" si="4"/>
        <v>1.5117610942503895E-4</v>
      </c>
      <c r="Q45" s="98">
        <f t="shared" si="4"/>
        <v>1.1351206921614631E-2</v>
      </c>
    </row>
    <row r="46" spans="1:27" x14ac:dyDescent="0.25">
      <c r="L46" s="220" t="s">
        <v>336</v>
      </c>
      <c r="M46" s="221" t="s">
        <v>328</v>
      </c>
      <c r="N46" s="224">
        <f>+N41*N45</f>
        <v>6.9100814170111269E-2</v>
      </c>
      <c r="O46" s="224">
        <f t="shared" ref="O46:Q46" si="5">+O41*O45</f>
        <v>6.9100814170111269E-2</v>
      </c>
      <c r="P46" s="201">
        <f t="shared" si="5"/>
        <v>6.9100814170111269E-2</v>
      </c>
      <c r="Q46" s="224">
        <f t="shared" si="5"/>
        <v>0.98864879307837905</v>
      </c>
    </row>
    <row r="47" spans="1:27" x14ac:dyDescent="0.25">
      <c r="L47" s="215" t="s">
        <v>337</v>
      </c>
      <c r="M47" s="216" t="s">
        <v>329</v>
      </c>
      <c r="N47" s="98">
        <f>+N46*N42</f>
        <v>0.74042856390910639</v>
      </c>
      <c r="O47" s="98">
        <f t="shared" ref="O47:Q47" si="6">+O46*O42</f>
        <v>0.74042856390910639</v>
      </c>
      <c r="P47" s="4">
        <f t="shared" si="6"/>
        <v>0.74042856390910639</v>
      </c>
      <c r="Q47" s="98">
        <f t="shared" si="6"/>
        <v>6.2379521710428251E-15</v>
      </c>
    </row>
    <row r="48" spans="1:27" x14ac:dyDescent="0.25">
      <c r="L48" s="220" t="s">
        <v>338</v>
      </c>
      <c r="M48" s="221" t="s">
        <v>335</v>
      </c>
      <c r="N48" s="224">
        <f>+N47*N43</f>
        <v>0.19031944581135737</v>
      </c>
      <c r="O48" s="224">
        <f t="shared" ref="O48:Q48" si="7">+O47*O43</f>
        <v>0.19031944581135737</v>
      </c>
      <c r="P48" s="201">
        <f t="shared" si="7"/>
        <v>0.19031944581135737</v>
      </c>
      <c r="Q48" s="224">
        <f t="shared" si="7"/>
        <v>3.9358817368356397E-29</v>
      </c>
    </row>
    <row r="49" spans="11:19" x14ac:dyDescent="0.25">
      <c r="L49" s="217" t="s">
        <v>361</v>
      </c>
      <c r="M49" s="218" t="s">
        <v>212</v>
      </c>
      <c r="N49" s="100">
        <f>N46+2*N47+3*N48</f>
        <v>2.1209162794223961</v>
      </c>
      <c r="O49" s="100">
        <f t="shared" ref="O49:Q49" si="8">O46+2*O47+3*O48</f>
        <v>2.1209162794223961</v>
      </c>
      <c r="P49" s="91">
        <f t="shared" si="8"/>
        <v>2.1209162794223961</v>
      </c>
      <c r="Q49" s="100">
        <f t="shared" si="8"/>
        <v>0.98864879307839149</v>
      </c>
    </row>
    <row r="52" spans="11:19" x14ac:dyDescent="0.25">
      <c r="K52" s="202"/>
      <c r="L52" s="203"/>
      <c r="M52" s="93" t="s">
        <v>314</v>
      </c>
      <c r="N52" s="222" t="s">
        <v>313</v>
      </c>
      <c r="O52" s="93" t="s">
        <v>315</v>
      </c>
      <c r="P52" s="219" t="s">
        <v>316</v>
      </c>
      <c r="Q52" s="202"/>
      <c r="R52" s="373" t="s">
        <v>344</v>
      </c>
      <c r="S52" s="373" t="s">
        <v>456</v>
      </c>
    </row>
    <row r="53" spans="11:19" x14ac:dyDescent="0.25">
      <c r="K53" s="204">
        <v>1</v>
      </c>
      <c r="L53" s="199" t="s">
        <v>421</v>
      </c>
      <c r="M53" s="288">
        <f>1000*((-3.1666*10^(-7)*($G$16^3))+(1.8499*10^(-5)*($G$16^2))+(4.7666*10^(-3)*$G$16)+0.998)</f>
        <v>998</v>
      </c>
      <c r="N53" s="223">
        <f>1000*((-3.1666*10^(-7)*($G$19^3))+(1.8499*10^(-5)*($G$19^2))+(4.7666*10^(-3)*$G$19)+0.998)</f>
        <v>1346.2841075000001</v>
      </c>
      <c r="O53" s="200">
        <f>1000*((-3.1666*10^(-7)*($G$22^3))+(1.8499*10^(-5)*($G$22^2))+(4.7666*10^(-3)*$G$22)+0.998)</f>
        <v>1346.2841075000001</v>
      </c>
      <c r="P53" s="205">
        <f>1000*((-3.1666*10^(-7)*($G$25^3))+(1.8499*10^(-5)*($G$25^2))+(4.7666*10^(-3)*$G$25)+0.998)</f>
        <v>1002.78478234</v>
      </c>
      <c r="Q53" s="200" t="s">
        <v>339</v>
      </c>
      <c r="R53" s="223">
        <v>35.46</v>
      </c>
      <c r="S53" s="223"/>
    </row>
    <row r="54" spans="11:19" x14ac:dyDescent="0.25">
      <c r="K54" s="206">
        <v>2</v>
      </c>
      <c r="L54" s="201" t="s">
        <v>215</v>
      </c>
      <c r="M54" s="201">
        <f>1000*((-5.6193*10^(-10)*($G$16^4))+(5.115*10^(-8)*($G$16^3))+(-1.1408*10^(-6)*($G$16^2))+(2.4529*10^(-3)*$G$16)+0.998)</f>
        <v>998</v>
      </c>
      <c r="N54" s="224">
        <f>1000*((-5.6193*10^(-10)*($G$19^4))+(5.115*10^(-8)*($G$19^3))+(-1.1408*10^(-6)*($G$19^2))+(2.4529*10^(-3)*$G$19)+0.998)</f>
        <v>1218.8149615437501</v>
      </c>
      <c r="O54" s="201">
        <f>1000*((-5.6193*10^(-10)*($G$22^4))+(5.115*10^(-8)*($G$22^3))+(-1.1408*10^(-6)*($G$22^2))+(2.4529*10^(-3)*$G$22)+0.998)</f>
        <v>1218.8149615437501</v>
      </c>
      <c r="P54" s="207">
        <f>1000*((-5.6193*10^(-10)*($G$25^4))+(5.115*10^(-8)*($G$25^3))+(-1.1408*10^(-6)*($G$25^2))+(2.4529*10^(-3)*$G$25)+0.998)</f>
        <v>1000.4518097880699</v>
      </c>
      <c r="Q54" s="201" t="s">
        <v>341</v>
      </c>
      <c r="R54" s="224">
        <f>89.08</f>
        <v>89.08</v>
      </c>
      <c r="S54" s="224">
        <v>400</v>
      </c>
    </row>
    <row r="55" spans="11:19" x14ac:dyDescent="0.25">
      <c r="K55" s="208">
        <v>3</v>
      </c>
      <c r="L55" s="198" t="s">
        <v>293</v>
      </c>
      <c r="M55" s="4">
        <f>1000*((-3.9523*10^(-9)*($G$16^4))+(6.8571*10^(-7)*($G$16^3))+(5.4475*10^(-7)*($G$16^2))+(5.51368*10^(-3)*$G$16)+0.99778)</f>
        <v>997.78</v>
      </c>
      <c r="N55" s="98">
        <f>1000*((-3.9523*10^(-9)*($G$19^4))+(6.8571*10^(-7)*($G$19^3))+(5.4475*10^(-7)*($G$19^2))+(5.51368*10^(-3)*$G$19)+0.99778)</f>
        <v>1792.4892748125001</v>
      </c>
      <c r="O55" s="4">
        <f>1000*((-3.9523*10^(-9)*($G$22^4))+(6.8571*10^(-7)*($G$22^3))+(5.4475*10^(-7)*($G$22^2))+(5.51368*10^(-3)*$G$22)+0.99778)</f>
        <v>1792.4892748125001</v>
      </c>
      <c r="P55" s="172">
        <f>1000*((-3.9523*10^(-9)*($G$25^4))+(6.8571*10^(-7)*($G$25^3))+(5.4475*10^(-7)*($G$25^2))+(5.51368*10^(-3)*$G$25)+0.99778)</f>
        <v>1003.2949065076999</v>
      </c>
      <c r="Q55" s="4" t="s">
        <v>342</v>
      </c>
      <c r="R55" s="98">
        <v>95</v>
      </c>
      <c r="S55" s="98">
        <v>1000</v>
      </c>
    </row>
    <row r="56" spans="11:19" x14ac:dyDescent="0.25">
      <c r="K56" s="206">
        <v>4</v>
      </c>
      <c r="L56" s="201" t="s">
        <v>216</v>
      </c>
      <c r="M56" s="201">
        <f>1000*((-2.0911*10^(-8)*($G$16^4))+(3.4312*10^(-6)*($G$16^3))+(-1.3954*10^(-4)*($G$16^2))+(9.0885*10^(-3)*$G$16)+0.9947)</f>
        <v>994.7</v>
      </c>
      <c r="N56" s="224">
        <f>1000*((-2.0911*10^(-8)*($G$19^4))+(3.4312*10^(-6)*($G$19^3))+(-1.3954*10^(-4)*($G$19^2))+(9.0885*10^(-3)*$G$19)+0.9947)</f>
        <v>1837.3700806249999</v>
      </c>
      <c r="O56" s="201">
        <f>1000*((-2.0911*10^(-8)*($G$22^4))+(3.4312*10^(-6)*($G$22^3))+(-1.3954*10^(-4)*($G$22^2))+(9.0885*10^(-3)*$G$22)+0.9947)</f>
        <v>1837.3700806249999</v>
      </c>
      <c r="P56" s="207">
        <f>1000*((-2.0911*10^(-8)*($G$25^4))+(3.4312*10^(-6)*($G$25^3))+(-1.3954*10^(-4)*($G$25^2))+(9.0885*10^(-3)*$G$25)+0.9947)</f>
        <v>1003.6523702890001</v>
      </c>
      <c r="Q56" s="201" t="s">
        <v>251</v>
      </c>
      <c r="R56" s="224">
        <v>96.07</v>
      </c>
      <c r="S56" s="224"/>
    </row>
    <row r="57" spans="11:19" x14ac:dyDescent="0.25">
      <c r="K57" s="209">
        <v>5</v>
      </c>
      <c r="L57" s="210" t="s">
        <v>217</v>
      </c>
      <c r="M57" s="91">
        <v>1480</v>
      </c>
      <c r="N57" s="100">
        <v>1480</v>
      </c>
      <c r="O57" s="91">
        <v>1480</v>
      </c>
      <c r="P57" s="211">
        <v>1480</v>
      </c>
      <c r="Q57" s="91" t="s">
        <v>340</v>
      </c>
      <c r="R57" s="100">
        <v>189.13</v>
      </c>
      <c r="S57" s="100">
        <v>150</v>
      </c>
    </row>
  </sheetData>
  <sheetProtection algorithmName="SHA-512" hashValue="4bZTNl9rn8vYwx2xzdSH//bab6IcD7Agdvv/xrsQVy2BxAqkvN0GAN/kVd8SRilqhTtsIwXw0KhGWGGFJMrKzQ==" saltValue="uDU3vb1v/8DIDXyZudNQrw==" spinCount="100000" sheet="1" autoFilter="0"/>
  <conditionalFormatting sqref="D26:F26">
    <cfRule type="expression" dxfId="0" priority="1">
      <formula>$D$17+$D$20+$D$23&gt;100</formula>
    </cfRule>
  </conditionalFormatting>
  <dataValidations count="3">
    <dataValidation type="list" allowBlank="1" showInputMessage="1" showErrorMessage="1" sqref="D7" xr:uid="{00000000-0002-0000-0400-000000000000}">
      <formula1>listdil</formula1>
    </dataValidation>
    <dataValidation type="list" allowBlank="1" showInputMessage="1" showErrorMessage="1" sqref="E22 E19 E25 E16" xr:uid="{00000000-0002-0000-0400-000001000000}">
      <formula1>"%,N,M,Solido"</formula1>
    </dataValidation>
    <dataValidation type="list" allowBlank="1" showInputMessage="1" showErrorMessage="1" sqref="D15 D18 D24 D21" xr:uid="{00000000-0002-0000-0400-000002000000}">
      <formula1>$L$27:$L$31</formula1>
    </dataValidation>
  </dataValidations>
  <pageMargins left="0.7" right="0.7" top="0.75" bottom="0.75" header="0.3" footer="0.3"/>
  <pageSetup orientation="portrait" r:id="rId1"/>
  <headerFooter>
    <oddHeader>&amp;C&amp;G</oddHeader>
  </headerFooter>
  <legacyDrawingHF r:id="rId2"/>
  <extLst>
    <ext xmlns:x15="http://schemas.microsoft.com/office/spreadsheetml/2010/11/main" uri="{F7C9EE02-42E1-4005-9D12-6889AFFD525C}">
      <x15:webExtensions xmlns:xm="http://schemas.microsoft.com/office/excel/2006/main">
        <x15:webExtension appRef="{3B76F8E4-D43C-49B4-8F64-BBC0F5D5EB55}">
          <xm:f>'Agua de Lavado'!1:1048576</xm:f>
        </x15:webExtension>
        <x15:webExtension appRef="{4BCF567E-606C-40C5-A059-E5088E63E885}">
          <xm:f>'Agua de Lavado'!#REF!</xm:f>
        </x15:webExtension>
      </x15:webExtens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4:W77"/>
  <sheetViews>
    <sheetView zoomScale="80" zoomScaleNormal="80" workbookViewId="0">
      <pane ySplit="4" topLeftCell="A5" activePane="bottomLeft" state="frozen"/>
      <selection pane="bottomLeft" activeCell="L34" sqref="L34"/>
    </sheetView>
  </sheetViews>
  <sheetFormatPr baseColWidth="10" defaultRowHeight="15" x14ac:dyDescent="0.25"/>
  <cols>
    <col min="1" max="1" width="22.42578125" customWidth="1"/>
    <col min="2" max="2" width="23.85546875" customWidth="1"/>
    <col min="3" max="3" width="14.42578125" customWidth="1"/>
    <col min="4" max="4" width="13.85546875" customWidth="1"/>
    <col min="5" max="5" width="15.28515625" customWidth="1"/>
    <col min="6" max="6" width="12" customWidth="1"/>
    <col min="7" max="7" width="13.5703125" customWidth="1"/>
    <col min="8" max="8" width="15.7109375" bestFit="1" customWidth="1"/>
    <col min="9" max="9" width="15.28515625" customWidth="1"/>
    <col min="10" max="10" width="14.7109375" customWidth="1"/>
    <col min="11" max="14" width="13.85546875" customWidth="1"/>
    <col min="15" max="15" width="18.28515625" customWidth="1"/>
    <col min="16" max="16" width="18.5703125" customWidth="1"/>
    <col min="17" max="17" width="15.7109375" bestFit="1" customWidth="1"/>
    <col min="18" max="18" width="14.85546875" bestFit="1" customWidth="1"/>
    <col min="19" max="19" width="19.85546875" bestFit="1" customWidth="1"/>
  </cols>
  <sheetData>
    <row r="4" spans="1:21" ht="60" x14ac:dyDescent="0.25">
      <c r="B4" s="80"/>
      <c r="C4" s="85" t="s">
        <v>186</v>
      </c>
      <c r="D4" s="85" t="s">
        <v>413</v>
      </c>
      <c r="E4" s="85" t="s">
        <v>414</v>
      </c>
      <c r="F4" s="85" t="s">
        <v>415</v>
      </c>
      <c r="G4" s="85" t="s">
        <v>416</v>
      </c>
      <c r="H4" s="85" t="s">
        <v>417</v>
      </c>
      <c r="I4" s="85" t="s">
        <v>418</v>
      </c>
      <c r="J4" s="85" t="s">
        <v>419</v>
      </c>
      <c r="K4" s="85" t="s">
        <v>270</v>
      </c>
      <c r="L4" s="85" t="s">
        <v>241</v>
      </c>
      <c r="M4" s="85" t="s">
        <v>420</v>
      </c>
      <c r="N4" s="355"/>
    </row>
    <row r="5" spans="1:21" x14ac:dyDescent="0.25">
      <c r="B5" s="80"/>
      <c r="C5" s="395" t="s">
        <v>366</v>
      </c>
      <c r="D5" s="101">
        <f>VLOOKUP($C$5,'Aguas del Mundo'!$B$1:$N$48,MATCH(D4,tbaguas[#Headers],0)-1,FALSE)</f>
        <v>50</v>
      </c>
      <c r="E5" s="101">
        <f>VLOOKUP($C$5,'Aguas del Mundo'!$B$1:$N$48,MATCH(E4,tbaguas[#Headers],0)-1,FALSE)</f>
        <v>7</v>
      </c>
      <c r="F5" s="101">
        <f>VLOOKUP($C$5,'Aguas del Mundo'!$B$1:$N$48,MATCH(F4,tbaguas[#Headers],0)-1,FALSE)</f>
        <v>5</v>
      </c>
      <c r="G5" s="101">
        <f>VLOOKUP($C$5,'Aguas del Mundo'!$B$1:$N$48,MATCH(G4,tbaguas[#Headers],0)-1,FALSE)</f>
        <v>75</v>
      </c>
      <c r="H5" s="101">
        <f>VLOOKUP($C$5,'Aguas del Mundo'!$B$1:$N$48,MATCH(H4,tbaguas[#Headers],0)-1,FALSE)</f>
        <v>60</v>
      </c>
      <c r="I5" s="101">
        <f>VLOOKUP($C$5,'Aguas del Mundo'!$B$1:$N$48,MATCH(I4,tbaguas[#Headers],0)-1,FALSE)</f>
        <v>0</v>
      </c>
      <c r="J5" s="101">
        <f>VLOOKUP($C$5,'Aguas del Mundo'!$B$1:$N$48,MATCH(J4,tbaguas[#Headers],0)-1,FALSE)</f>
        <v>153.80658436213992</v>
      </c>
      <c r="K5" s="101">
        <f>VLOOKUP($C$5,'Aguas del Mundo'!$B$1:$N$48,MATCH(K4,tbaguas[#Headers],0)-1,FALSE)</f>
        <v>0</v>
      </c>
      <c r="L5" s="101">
        <f>VLOOKUP($C$5,'Aguas del Mundo'!$B$1:$N$48,MATCH(L4,tbaguas[#Headers],0)-1,FALSE)</f>
        <v>-39.830300000000001</v>
      </c>
      <c r="M5" s="101">
        <f>VLOOKUP($C$5,'Aguas del Mundo'!$B$1:$N$48,MATCH(M4,tbaguas[#Headers],0)-1,FALSE)</f>
        <v>1.25</v>
      </c>
      <c r="N5" s="106"/>
    </row>
    <row r="6" spans="1:21" x14ac:dyDescent="0.25">
      <c r="B6" s="80"/>
      <c r="C6" s="12" t="s">
        <v>200</v>
      </c>
      <c r="D6" s="102">
        <f>'Informe Agua'!C7</f>
        <v>0</v>
      </c>
      <c r="E6" s="102">
        <f>'Informe Agua'!C8</f>
        <v>0</v>
      </c>
      <c r="F6" s="102">
        <f>'Informe Agua'!C9</f>
        <v>0</v>
      </c>
      <c r="G6" s="102">
        <f>'Informe Agua'!C19</f>
        <v>0</v>
      </c>
      <c r="H6" s="102">
        <f>'Informe Agua'!C20</f>
        <v>0</v>
      </c>
      <c r="I6" s="102">
        <f>'Informe Agua'!C17</f>
        <v>0</v>
      </c>
      <c r="J6" s="102">
        <f>'Informe Agua'!I7</f>
        <v>0</v>
      </c>
      <c r="K6" s="102">
        <f>'Informe Agua'!I13</f>
        <v>0</v>
      </c>
      <c r="L6" s="102">
        <f>'Informe Agua'!I14</f>
        <v>0</v>
      </c>
      <c r="M6" s="102">
        <f>IF(H6&lt;=0,0,G6/H6)</f>
        <v>0</v>
      </c>
      <c r="N6" s="106"/>
      <c r="P6" s="350"/>
    </row>
    <row r="7" spans="1:21" x14ac:dyDescent="0.25">
      <c r="B7" s="394" t="s">
        <v>201</v>
      </c>
      <c r="C7" s="396" t="s">
        <v>292</v>
      </c>
      <c r="D7" s="101">
        <f>IFERROR(VLOOKUP($C$7,'Aguas del Mundo'!$B$49:$N$60,MATCH(D4,tbdilucion[#Headers],0)-1,FALSE),0)</f>
        <v>0</v>
      </c>
      <c r="E7" s="101">
        <f>IFERROR(VLOOKUP($C$7,'Aguas del Mundo'!$B$49:$N$60,MATCH(E4,tbdilucion[#Headers],0)-1,FALSE),0)</f>
        <v>0</v>
      </c>
      <c r="F7" s="101">
        <f>IFERROR(VLOOKUP($C$7,'Aguas del Mundo'!$B$49:$N$60,MATCH(F4,tbdilucion[#Headers],0)-1,FALSE),0)</f>
        <v>0</v>
      </c>
      <c r="G7" s="101">
        <f>IFERROR(VLOOKUP($C$7,'Aguas del Mundo'!$B$49:$N$60,MATCH(G4,tbdilucion[#Headers],0)-1,FALSE),0)</f>
        <v>0</v>
      </c>
      <c r="H7" s="101">
        <f>IFERROR(VLOOKUP($C$7,'Aguas del Mundo'!$B$49:$N$60,MATCH(H4,tbdilucion[#Headers],0)-1,FALSE),0)</f>
        <v>0</v>
      </c>
      <c r="I7" s="101">
        <f>IFERROR(VLOOKUP($C$7,'Aguas del Mundo'!$B$49:$N$60,MATCH(I4,tbdilucion[#Headers],0)-1,FALSE),0)</f>
        <v>0</v>
      </c>
      <c r="J7" s="101">
        <f>IFERROR(VLOOKUP($C$7,'Aguas del Mundo'!$B$49:$N$60,MATCH(J4,tbdilucion[#Headers],0)-1,FALSE),0)</f>
        <v>0</v>
      </c>
      <c r="K7" s="101">
        <f>IFERROR(VLOOKUP($C$7,'Aguas del Mundo'!$B$49:$N$60,MATCH(K4,tbdilucion[#Headers],0)-1,FALSE),0)</f>
        <v>0</v>
      </c>
      <c r="L7" s="101">
        <f>IFERROR(VLOOKUP($C$7,'Aguas del Mundo'!$B$49:$N$60,MATCH(L4,tbdilucion[#Headers],0)-1,FALSE),0)</f>
        <v>0</v>
      </c>
      <c r="M7" s="101">
        <f>IFERROR(VLOOKUP($C$7,'Aguas del Mundo'!$B$49:$N$60,MATCH(M4,tbdilucion[#Headers],0)-1,FALSE),0)</f>
        <v>0</v>
      </c>
      <c r="N7" s="106"/>
      <c r="P7" s="344"/>
      <c r="Q7" s="62"/>
    </row>
    <row r="8" spans="1:21" x14ac:dyDescent="0.25">
      <c r="B8" s="394" t="s">
        <v>202</v>
      </c>
      <c r="C8" s="397">
        <v>0</v>
      </c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6"/>
      <c r="P8" s="62"/>
      <c r="Q8" s="62"/>
    </row>
    <row r="9" spans="1:21" x14ac:dyDescent="0.25">
      <c r="B9" s="80"/>
      <c r="C9" s="12" t="str">
        <f>IF(AND(C7="S/diluir",C8&gt;0),"Agua Original [mg/l]:","Agua Original Diluida [mg/l]:")</f>
        <v>Agua Original Diluida [mg/l]:</v>
      </c>
      <c r="D9" s="101">
        <f>IF($C$7="S/diluir",D6,(D7*$C$8)+(D6*(1-$C$8)))</f>
        <v>0</v>
      </c>
      <c r="E9" s="101">
        <f t="shared" ref="E9:M9" si="0">IF($C$7="S/diluir",E6,(E7*$C$8)+(E6*(1-$C$8)))</f>
        <v>0</v>
      </c>
      <c r="F9" s="101">
        <f t="shared" si="0"/>
        <v>0</v>
      </c>
      <c r="G9" s="101">
        <f t="shared" si="0"/>
        <v>0</v>
      </c>
      <c r="H9" s="101">
        <f t="shared" si="0"/>
        <v>0</v>
      </c>
      <c r="I9" s="101">
        <f t="shared" si="0"/>
        <v>0</v>
      </c>
      <c r="J9" s="101">
        <f t="shared" si="0"/>
        <v>0</v>
      </c>
      <c r="K9" s="101">
        <f t="shared" si="0"/>
        <v>0</v>
      </c>
      <c r="L9" s="101">
        <f t="shared" si="0"/>
        <v>0</v>
      </c>
      <c r="M9" s="101">
        <f t="shared" si="0"/>
        <v>0</v>
      </c>
      <c r="N9" s="106"/>
      <c r="P9" s="345"/>
      <c r="Q9" s="62"/>
      <c r="R9" s="62"/>
    </row>
    <row r="10" spans="1:21" x14ac:dyDescent="0.25">
      <c r="B10" s="80"/>
      <c r="C10" s="12" t="s">
        <v>267</v>
      </c>
      <c r="D10" s="351">
        <f>D5-D12</f>
        <v>50</v>
      </c>
      <c r="E10" s="351">
        <f t="shared" ref="E10:H10" si="1">E5-E12</f>
        <v>7</v>
      </c>
      <c r="F10" s="351">
        <f t="shared" si="1"/>
        <v>5</v>
      </c>
      <c r="G10" s="351">
        <f t="shared" si="1"/>
        <v>75</v>
      </c>
      <c r="H10" s="351">
        <f t="shared" si="1"/>
        <v>60</v>
      </c>
      <c r="I10" s="351">
        <f>I5-I9</f>
        <v>0</v>
      </c>
      <c r="J10" s="102"/>
      <c r="K10" s="102"/>
      <c r="L10" s="102"/>
      <c r="M10" s="102"/>
      <c r="N10" s="106"/>
      <c r="P10" s="62"/>
      <c r="Q10" s="62"/>
    </row>
    <row r="11" spans="1:21" x14ac:dyDescent="0.25">
      <c r="B11" s="80"/>
      <c r="C11" s="12" t="s">
        <v>203</v>
      </c>
      <c r="D11" s="101">
        <f>SUM(D17:D24)</f>
        <v>0</v>
      </c>
      <c r="E11" s="101">
        <f>SUM(E17:E24)</f>
        <v>0</v>
      </c>
      <c r="F11" s="101">
        <f>SUM(F17:F24)</f>
        <v>0</v>
      </c>
      <c r="G11" s="101">
        <f>SUM(G17:G25)</f>
        <v>0</v>
      </c>
      <c r="H11" s="101">
        <f>SUM(H17:H25)</f>
        <v>0</v>
      </c>
      <c r="I11" s="101">
        <f>SUM(I17:I25)</f>
        <v>0</v>
      </c>
      <c r="J11" s="101"/>
      <c r="K11" s="101"/>
      <c r="L11" s="101"/>
      <c r="M11" s="101"/>
      <c r="N11" s="106"/>
      <c r="P11" s="62"/>
      <c r="Q11" s="62"/>
    </row>
    <row r="12" spans="1:21" x14ac:dyDescent="0.25">
      <c r="B12" s="80"/>
      <c r="C12" s="12" t="s">
        <v>438</v>
      </c>
      <c r="D12" s="102">
        <f>D11+D9</f>
        <v>0</v>
      </c>
      <c r="E12" s="102">
        <f t="shared" ref="E12:I12" si="2">E11+E9</f>
        <v>0</v>
      </c>
      <c r="F12" s="102">
        <f t="shared" si="2"/>
        <v>0</v>
      </c>
      <c r="G12" s="102">
        <f t="shared" si="2"/>
        <v>0</v>
      </c>
      <c r="H12" s="102">
        <f t="shared" si="2"/>
        <v>0</v>
      </c>
      <c r="I12" s="102">
        <f t="shared" si="2"/>
        <v>0</v>
      </c>
      <c r="J12" s="102">
        <f>((D12/U19)+(E12/U22))*R22</f>
        <v>0</v>
      </c>
      <c r="K12" s="102">
        <f>((I12*(R22/R26)*(1+(2*POWER(10,(6.352-10.329))))))</f>
        <v>0</v>
      </c>
      <c r="L12" s="102">
        <f>((K12/R22)-((D12/U19)+((E12/U22)/2))/3.5)*R22</f>
        <v>0</v>
      </c>
      <c r="M12" s="102">
        <f>IF(H12&lt;=0,0,G12/H12)</f>
        <v>0</v>
      </c>
      <c r="N12" s="106"/>
      <c r="Q12" s="62"/>
    </row>
    <row r="13" spans="1:21" x14ac:dyDescent="0.25">
      <c r="C13" s="12" t="s">
        <v>269</v>
      </c>
      <c r="D13" s="341">
        <f>D12</f>
        <v>0</v>
      </c>
      <c r="E13" s="341">
        <f>E12</f>
        <v>0</v>
      </c>
      <c r="F13" s="341">
        <f>F12</f>
        <v>0</v>
      </c>
      <c r="G13" s="341">
        <f>G12+G26</f>
        <v>0</v>
      </c>
      <c r="H13" s="341">
        <f>H12+H26</f>
        <v>0</v>
      </c>
      <c r="I13" s="341">
        <f>I12</f>
        <v>0</v>
      </c>
      <c r="J13" s="341">
        <f>J12</f>
        <v>0</v>
      </c>
      <c r="K13" s="341">
        <f>K12</f>
        <v>0</v>
      </c>
      <c r="L13" s="341">
        <f>L12</f>
        <v>0</v>
      </c>
      <c r="M13" s="341">
        <f>IFERROR(G13/H13,0)</f>
        <v>0</v>
      </c>
      <c r="N13" s="356"/>
    </row>
    <row r="14" spans="1:21" ht="15.75" thickBot="1" x14ac:dyDescent="0.3">
      <c r="D14" s="350"/>
      <c r="E14" s="350"/>
      <c r="F14" s="350"/>
      <c r="G14" s="350"/>
      <c r="H14" s="350"/>
      <c r="I14" s="350"/>
      <c r="J14" s="350"/>
      <c r="K14" s="350"/>
      <c r="L14" s="350"/>
      <c r="M14" s="350"/>
      <c r="N14" s="350"/>
    </row>
    <row r="15" spans="1:21" ht="16.5" thickTop="1" thickBot="1" x14ac:dyDescent="0.3">
      <c r="C15" s="339" t="s">
        <v>221</v>
      </c>
      <c r="D15" s="339">
        <f>Receta!C40</f>
        <v>5.75</v>
      </c>
      <c r="E15" s="340">
        <f>Receta!C41</f>
        <v>0</v>
      </c>
      <c r="F15" s="2"/>
    </row>
    <row r="16" spans="1:21" ht="45.75" thickTop="1" x14ac:dyDescent="0.25">
      <c r="A16" s="140" t="s">
        <v>352</v>
      </c>
      <c r="B16" s="150">
        <f>Receta!C46</f>
        <v>0</v>
      </c>
      <c r="C16" s="83" t="s">
        <v>204</v>
      </c>
      <c r="D16" s="85" t="s">
        <v>275</v>
      </c>
      <c r="E16" s="84" t="s">
        <v>276</v>
      </c>
      <c r="F16" s="85" t="s">
        <v>277</v>
      </c>
      <c r="G16" s="84" t="s">
        <v>278</v>
      </c>
      <c r="H16" s="85" t="s">
        <v>279</v>
      </c>
      <c r="I16" s="107" t="s">
        <v>280</v>
      </c>
      <c r="J16" s="107" t="s">
        <v>431</v>
      </c>
      <c r="K16" s="406">
        <f>+M16-B16</f>
        <v>0</v>
      </c>
      <c r="L16" s="140" t="s">
        <v>353</v>
      </c>
      <c r="M16" s="406">
        <v>0</v>
      </c>
      <c r="N16" s="140" t="s">
        <v>451</v>
      </c>
      <c r="P16" s="92"/>
      <c r="Q16" s="97" t="s">
        <v>205</v>
      </c>
      <c r="R16" s="97" t="s">
        <v>434</v>
      </c>
      <c r="S16" s="93"/>
      <c r="T16" s="97" t="s">
        <v>206</v>
      </c>
      <c r="U16" s="343" t="s">
        <v>434</v>
      </c>
    </row>
    <row r="17" spans="1:21" x14ac:dyDescent="0.25">
      <c r="B17" s="12" t="s">
        <v>259</v>
      </c>
      <c r="C17" s="398">
        <v>0</v>
      </c>
      <c r="D17" s="101">
        <f>IFERROR((C17/B16*$T$19/$Q$17)*1000,0)</f>
        <v>0</v>
      </c>
      <c r="E17" s="106"/>
      <c r="F17" s="101"/>
      <c r="G17" s="106">
        <f>IFERROR((C17/B16*Q27/Q17)*1000,0)</f>
        <v>0</v>
      </c>
      <c r="H17" s="101"/>
      <c r="I17" s="108"/>
      <c r="J17" s="108">
        <f>$B$16*2.4</f>
        <v>0</v>
      </c>
      <c r="K17" s="108">
        <f>IFERROR(C17*$K$16/$B$16,0)</f>
        <v>0</v>
      </c>
      <c r="L17" s="108" t="s">
        <v>378</v>
      </c>
      <c r="M17" s="342"/>
      <c r="N17" s="342"/>
      <c r="P17" s="88" t="s">
        <v>226</v>
      </c>
      <c r="Q17" s="346">
        <f>Q27+T19+2*Q29</f>
        <v>172.11</v>
      </c>
      <c r="R17" s="87">
        <f>Q17/2</f>
        <v>86.055000000000007</v>
      </c>
      <c r="S17" s="27" t="s">
        <v>243</v>
      </c>
      <c r="T17" s="98">
        <v>32.06</v>
      </c>
      <c r="U17" s="98"/>
    </row>
    <row r="18" spans="1:21" x14ac:dyDescent="0.25">
      <c r="B18" s="12" t="s">
        <v>260</v>
      </c>
      <c r="C18" s="399">
        <v>0</v>
      </c>
      <c r="D18" s="102"/>
      <c r="E18" s="103">
        <f>IFERROR((C18/B16*$T$22/Q18)*1000,0)</f>
        <v>0</v>
      </c>
      <c r="F18" s="102"/>
      <c r="G18" s="103">
        <f>IFERROR((C18/B16*Q27/Q18)*1000,0)</f>
        <v>0</v>
      </c>
      <c r="H18" s="102"/>
      <c r="I18" s="105"/>
      <c r="J18" s="108">
        <f>$B$16*351</f>
        <v>0</v>
      </c>
      <c r="K18" s="108">
        <f t="shared" ref="K18:K24" si="3">IFERROR(C18*$K$16/$B$16,0)</f>
        <v>0</v>
      </c>
      <c r="L18" s="108" t="s">
        <v>378</v>
      </c>
      <c r="P18" s="94" t="s">
        <v>227</v>
      </c>
      <c r="Q18" s="347">
        <f>Q27+T22+7*Q29</f>
        <v>246.36700000000002</v>
      </c>
      <c r="R18" s="102">
        <f>Q18/2</f>
        <v>123.18350000000001</v>
      </c>
      <c r="S18" s="96" t="s">
        <v>244</v>
      </c>
      <c r="T18" s="99">
        <v>15.99</v>
      </c>
      <c r="U18" s="99"/>
    </row>
    <row r="19" spans="1:21" x14ac:dyDescent="0.25">
      <c r="B19" s="12" t="s">
        <v>268</v>
      </c>
      <c r="C19" s="398">
        <v>0</v>
      </c>
      <c r="D19" s="101">
        <f>IFERROR((C19/B16*$T$19/Q19)*1000,0)</f>
        <v>0</v>
      </c>
      <c r="E19" s="106"/>
      <c r="F19" s="101"/>
      <c r="G19" s="106"/>
      <c r="H19" s="101">
        <f>IFERROR((C19/B16*2*$T$21/Q19)*1000,0)</f>
        <v>0</v>
      </c>
      <c r="I19" s="108"/>
      <c r="J19" s="108">
        <f>$B$16*1345</f>
        <v>0</v>
      </c>
      <c r="K19" s="108">
        <f t="shared" si="3"/>
        <v>0</v>
      </c>
      <c r="L19" s="108" t="s">
        <v>378</v>
      </c>
      <c r="P19" s="88" t="s">
        <v>228</v>
      </c>
      <c r="Q19" s="346">
        <f>2*T21+T19+2*Q29</f>
        <v>146.99</v>
      </c>
      <c r="R19" s="87">
        <f>Q19/1</f>
        <v>146.99</v>
      </c>
      <c r="S19" s="27" t="s">
        <v>245</v>
      </c>
      <c r="T19" s="98">
        <v>40.078000000000003</v>
      </c>
      <c r="U19" s="98">
        <f>+T19/2</f>
        <v>20.039000000000001</v>
      </c>
    </row>
    <row r="20" spans="1:21" x14ac:dyDescent="0.25">
      <c r="B20" s="12" t="s">
        <v>261</v>
      </c>
      <c r="C20" s="399">
        <v>0</v>
      </c>
      <c r="D20" s="102"/>
      <c r="E20" s="103"/>
      <c r="F20" s="102">
        <f>IFERROR((C20/B16*$T$23/Q20)*1000,0)</f>
        <v>0</v>
      </c>
      <c r="G20" s="103"/>
      <c r="H20" s="102">
        <f>IFERROR((C20/B16*$T$21/Q20)*1000,0)</f>
        <v>0</v>
      </c>
      <c r="I20" s="105"/>
      <c r="J20" s="108">
        <f>$B$16*335</f>
        <v>0</v>
      </c>
      <c r="K20" s="108">
        <f t="shared" si="3"/>
        <v>0</v>
      </c>
      <c r="L20" s="108" t="s">
        <v>378</v>
      </c>
      <c r="P20" s="94" t="s">
        <v>225</v>
      </c>
      <c r="Q20" s="347">
        <f>T21+T23</f>
        <v>58.44</v>
      </c>
      <c r="R20" s="102">
        <f>Q20/1</f>
        <v>58.44</v>
      </c>
      <c r="S20" s="96" t="s">
        <v>246</v>
      </c>
      <c r="T20" s="99">
        <v>12.010999999999999</v>
      </c>
      <c r="U20" s="99"/>
    </row>
    <row r="21" spans="1:21" x14ac:dyDescent="0.25">
      <c r="B21" s="12" t="s">
        <v>262</v>
      </c>
      <c r="C21" s="400">
        <v>0</v>
      </c>
      <c r="D21" s="87"/>
      <c r="E21" s="5">
        <f>IFERROR((C21/B16*$T$22/Q21)*1000,0)</f>
        <v>0</v>
      </c>
      <c r="F21" s="101"/>
      <c r="G21" s="106"/>
      <c r="H21" s="101">
        <f>IFERROR((C21/B16*2*$T$21/Q21)*1000,0)</f>
        <v>0</v>
      </c>
      <c r="I21" s="86"/>
      <c r="J21" s="108">
        <f>$B$16*1670</f>
        <v>0</v>
      </c>
      <c r="K21" s="108">
        <f t="shared" si="3"/>
        <v>0</v>
      </c>
      <c r="L21" s="108" t="s">
        <v>378</v>
      </c>
      <c r="P21" s="88" t="s">
        <v>229</v>
      </c>
      <c r="Q21" s="346">
        <f>2*T21+T22+6*Q29</f>
        <v>203.24100000000001</v>
      </c>
      <c r="R21" s="87">
        <f>Q21/2</f>
        <v>101.62050000000001</v>
      </c>
      <c r="S21" s="27" t="s">
        <v>247</v>
      </c>
      <c r="T21" s="98">
        <v>35.450000000000003</v>
      </c>
      <c r="U21" s="98"/>
    </row>
    <row r="22" spans="1:21" x14ac:dyDescent="0.25">
      <c r="B22" s="12" t="s">
        <v>263</v>
      </c>
      <c r="C22" s="399">
        <v>0</v>
      </c>
      <c r="D22" s="102">
        <f>IFERROR((C22/B16*$T$19/Q22)*1000,0)</f>
        <v>0</v>
      </c>
      <c r="E22" s="103"/>
      <c r="F22" s="102"/>
      <c r="G22" s="103"/>
      <c r="H22" s="102"/>
      <c r="I22" s="105">
        <f>IFERROR((C22/B16*1.21992465562968)*1000,0)</f>
        <v>0</v>
      </c>
      <c r="J22" s="108">
        <f>$B$16*0.013</f>
        <v>0</v>
      </c>
      <c r="K22" s="108">
        <f t="shared" si="3"/>
        <v>0</v>
      </c>
      <c r="L22" s="108" t="s">
        <v>378</v>
      </c>
      <c r="P22" s="94" t="s">
        <v>230</v>
      </c>
      <c r="Q22" s="347">
        <f>T19+Q28</f>
        <v>100.059</v>
      </c>
      <c r="R22" s="102">
        <f>Q22/2</f>
        <v>50.029499999999999</v>
      </c>
      <c r="S22" s="96" t="s">
        <v>248</v>
      </c>
      <c r="T22" s="99">
        <v>24.305</v>
      </c>
      <c r="U22" s="99">
        <f>+T22/2</f>
        <v>12.1525</v>
      </c>
    </row>
    <row r="23" spans="1:21" x14ac:dyDescent="0.25">
      <c r="B23" s="12" t="s">
        <v>264</v>
      </c>
      <c r="C23" s="400">
        <v>0</v>
      </c>
      <c r="D23" s="87"/>
      <c r="E23" s="5"/>
      <c r="F23" s="101">
        <f>IFERROR((C23/B16*$T$23/Q23)*1000,0)</f>
        <v>0</v>
      </c>
      <c r="G23" s="101"/>
      <c r="H23" s="108"/>
      <c r="I23" s="87">
        <f>IFERROR((C23/B16*(Q23-T23)/Q23)*1000,0)</f>
        <v>0</v>
      </c>
      <c r="J23" s="108">
        <f>$B$16*960</f>
        <v>0</v>
      </c>
      <c r="K23" s="108">
        <f t="shared" si="3"/>
        <v>0</v>
      </c>
      <c r="L23" s="108" t="s">
        <v>378</v>
      </c>
      <c r="P23" s="88" t="s">
        <v>231</v>
      </c>
      <c r="Q23" s="346">
        <f>T23+Q28+T24</f>
        <v>83.978999999999985</v>
      </c>
      <c r="R23" s="87">
        <f>Q23/1</f>
        <v>83.978999999999985</v>
      </c>
      <c r="S23" s="27" t="s">
        <v>249</v>
      </c>
      <c r="T23" s="98">
        <v>22.99</v>
      </c>
      <c r="U23" s="98"/>
    </row>
    <row r="24" spans="1:21" x14ac:dyDescent="0.25">
      <c r="B24" s="144" t="s">
        <v>265</v>
      </c>
      <c r="C24" s="401">
        <v>0</v>
      </c>
      <c r="D24" s="102">
        <f>IFERROR((C24/B16*$T$19/Q24)*1000,0)</f>
        <v>0</v>
      </c>
      <c r="E24" s="102"/>
      <c r="F24" s="102"/>
      <c r="G24" s="102"/>
      <c r="H24" s="102"/>
      <c r="I24" s="102">
        <f>IFERROR((C24/B16*1.645707773094)*1000,0)</f>
        <v>0</v>
      </c>
      <c r="J24" s="108">
        <f>$B$16*173</f>
        <v>0</v>
      </c>
      <c r="K24" s="108">
        <f t="shared" si="3"/>
        <v>0</v>
      </c>
      <c r="L24" s="108" t="s">
        <v>378</v>
      </c>
      <c r="P24" s="94" t="s">
        <v>232</v>
      </c>
      <c r="Q24" s="347">
        <f>T19+2*Q30</f>
        <v>74.074000000000012</v>
      </c>
      <c r="R24" s="102">
        <f>Q24/2</f>
        <v>37.037000000000006</v>
      </c>
      <c r="S24" s="96" t="s">
        <v>250</v>
      </c>
      <c r="T24" s="99">
        <v>1.008</v>
      </c>
      <c r="U24" s="99"/>
    </row>
    <row r="25" spans="1:21" x14ac:dyDescent="0.25">
      <c r="B25" s="144" t="s">
        <v>453</v>
      </c>
      <c r="C25" s="291"/>
      <c r="D25" s="146"/>
      <c r="E25" s="146"/>
      <c r="F25" s="146"/>
      <c r="G25" s="145">
        <f>SUMIF(B28:B35,H51,H28:H35)</f>
        <v>0</v>
      </c>
      <c r="H25" s="145">
        <f>SUMIF(B28:B35,H48,H28:H35)</f>
        <v>0</v>
      </c>
      <c r="I25" s="145">
        <f>SUM(I28:I35)</f>
        <v>0</v>
      </c>
      <c r="J25" s="145"/>
      <c r="K25" s="146"/>
      <c r="L25" s="146"/>
      <c r="P25" s="88"/>
      <c r="Q25" s="346"/>
      <c r="R25" s="87"/>
      <c r="S25" s="4"/>
      <c r="T25" s="98"/>
      <c r="U25" s="98"/>
    </row>
    <row r="26" spans="1:21" ht="15.75" x14ac:dyDescent="0.25">
      <c r="B26" s="144" t="s">
        <v>454</v>
      </c>
      <c r="C26" s="2"/>
      <c r="D26" s="60"/>
      <c r="E26" s="60"/>
      <c r="F26" s="60"/>
      <c r="G26" s="2">
        <f>SUMIFS(C37:C44,B37:B44,"Sulfato")</f>
        <v>0</v>
      </c>
      <c r="H26" s="2">
        <f>SUMIFS(C37:C44,B37:B44,"Cloruro")</f>
        <v>0</v>
      </c>
      <c r="I26" s="60"/>
      <c r="P26" s="88" t="s">
        <v>363</v>
      </c>
      <c r="Q26" s="346">
        <f>Q28+T24</f>
        <v>60.988999999999997</v>
      </c>
      <c r="R26" s="87">
        <f>+Q26</f>
        <v>60.988999999999997</v>
      </c>
      <c r="S26" s="4" t="s">
        <v>377</v>
      </c>
      <c r="T26" s="98"/>
      <c r="U26" s="98"/>
    </row>
    <row r="27" spans="1:21" ht="15.75" x14ac:dyDescent="0.25">
      <c r="B27" s="6"/>
      <c r="C27" s="2"/>
      <c r="D27" s="60"/>
      <c r="E27" s="60"/>
      <c r="F27" s="60"/>
      <c r="G27" s="60"/>
      <c r="H27" s="60"/>
      <c r="I27" s="60"/>
      <c r="P27" s="94" t="s">
        <v>256</v>
      </c>
      <c r="Q27" s="347">
        <f>T17+4*T18</f>
        <v>96.02000000000001</v>
      </c>
      <c r="R27" s="102">
        <f>Q27/2</f>
        <v>48.010000000000005</v>
      </c>
      <c r="S27" s="95" t="s">
        <v>251</v>
      </c>
      <c r="T27" s="99"/>
      <c r="U27" s="99"/>
    </row>
    <row r="28" spans="1:21" ht="15.75" x14ac:dyDescent="0.25">
      <c r="A28" s="12" t="s">
        <v>345</v>
      </c>
      <c r="B28" s="402" t="s">
        <v>217</v>
      </c>
      <c r="C28" s="403">
        <v>0</v>
      </c>
      <c r="D28" s="157" t="str">
        <f>IF(B28="Cítrico","gr","ml")</f>
        <v>gr</v>
      </c>
      <c r="E28" s="158" t="s">
        <v>213</v>
      </c>
      <c r="F28" s="404">
        <v>0</v>
      </c>
      <c r="G28" s="404" t="s">
        <v>343</v>
      </c>
      <c r="H28" s="159"/>
      <c r="I28" s="159">
        <f>IFERROR(IF(G28="Sólido",(HLOOKUP(G28,I60:M64,2,FALSE)*-$Q$26)/F55,(HLOOKUP(G28,I60:M64,2,FALSE)*-$Q$26)),0)</f>
        <v>0</v>
      </c>
      <c r="J28" s="342"/>
      <c r="P28" s="88" t="s">
        <v>257</v>
      </c>
      <c r="Q28" s="346">
        <f>T20+3*T18</f>
        <v>59.980999999999995</v>
      </c>
      <c r="R28" s="87">
        <f>Q28/2</f>
        <v>29.990499999999997</v>
      </c>
      <c r="S28" s="89" t="s">
        <v>252</v>
      </c>
      <c r="T28" s="98"/>
      <c r="U28" s="98"/>
    </row>
    <row r="29" spans="1:21" x14ac:dyDescent="0.25">
      <c r="B29" s="352" t="str">
        <f>H55</f>
        <v>Citrato</v>
      </c>
      <c r="C29" s="290"/>
      <c r="D29" s="155" t="s">
        <v>152</v>
      </c>
      <c r="E29" s="153"/>
      <c r="F29" s="151"/>
      <c r="G29" s="151"/>
      <c r="H29" s="87">
        <f>IFERROR(IF(OR(B29="Cloruro",B29="Sulfato"),HLOOKUP(G28,$I$60:$M$64,2,FALSE)*IF(B29="Sulfato",G55/2,G55),-I28*F55/(Q26*D70)),0)</f>
        <v>0</v>
      </c>
      <c r="I29" s="87"/>
      <c r="J29" s="374" t="str">
        <f>IF(OR(B29="Clorato",B29="Sulfato"),"",IF(H29&gt;VLOOKUP(B29,$H$48:$I$52,2,FALSE),"Mayor al umbral de detección",""))</f>
        <v/>
      </c>
      <c r="P29" s="94" t="s">
        <v>258</v>
      </c>
      <c r="Q29" s="347">
        <f>T18+2*T24</f>
        <v>18.006</v>
      </c>
      <c r="R29" s="102">
        <f>Q29/2</f>
        <v>9.0030000000000001</v>
      </c>
      <c r="S29" s="95" t="s">
        <v>253</v>
      </c>
      <c r="T29" s="99"/>
      <c r="U29" s="99"/>
    </row>
    <row r="30" spans="1:21" ht="17.25" x14ac:dyDescent="0.25">
      <c r="A30" s="12" t="s">
        <v>219</v>
      </c>
      <c r="B30" s="399" t="s">
        <v>215</v>
      </c>
      <c r="C30" s="399">
        <v>0</v>
      </c>
      <c r="D30" s="154" t="str">
        <f t="shared" ref="D30" si="4">IF(B30="Cítrico","gr","ml")</f>
        <v>ml</v>
      </c>
      <c r="E30" s="152" t="s">
        <v>213</v>
      </c>
      <c r="F30" s="405">
        <v>95</v>
      </c>
      <c r="G30" s="405" t="s">
        <v>5</v>
      </c>
      <c r="H30" s="102"/>
      <c r="I30" s="102">
        <f>IFERROR(IF(G30="Sólido",(HLOOKUP(G30,I60:M64,3,FALSE)*-$Q$26)/F56,(HLOOKUP(G30,I60:M64,3,FALSE)*-$Q$26)),0)</f>
        <v>0</v>
      </c>
      <c r="J30" s="374"/>
      <c r="P30" s="90" t="s">
        <v>255</v>
      </c>
      <c r="Q30" s="146">
        <f>T18+T24</f>
        <v>16.998000000000001</v>
      </c>
      <c r="R30" s="145">
        <f>Q30/1</f>
        <v>16.998000000000001</v>
      </c>
      <c r="S30" s="91" t="s">
        <v>254</v>
      </c>
      <c r="T30" s="100"/>
      <c r="U30" s="100"/>
    </row>
    <row r="31" spans="1:21" x14ac:dyDescent="0.25">
      <c r="B31" s="156" t="str">
        <f>H56</f>
        <v>Lactato</v>
      </c>
      <c r="C31" s="82"/>
      <c r="D31" s="155" t="s">
        <v>152</v>
      </c>
      <c r="E31" s="153"/>
      <c r="F31" s="151"/>
      <c r="G31" s="151"/>
      <c r="H31" s="87">
        <f>IFERROR(IF(OR(B31="Cloruro",B31="Sulfato"),HLOOKUP(G30,$I$60:$M$64,3,FALSE)*IF(B31="Sulfato",G56/2,G56),-I30*F56/(Q28*E70)),0)</f>
        <v>0</v>
      </c>
      <c r="I31" s="87"/>
      <c r="J31" s="374" t="str">
        <f t="shared" ref="J31:J35" si="5">IF(OR(B31="Clorato",B31="Sulfato"),"",IF(H31&gt;VLOOKUP(B31,$H$48:$I$52,2,FALSE),"Mayor al umbral de detección",""))</f>
        <v/>
      </c>
    </row>
    <row r="32" spans="1:21" x14ac:dyDescent="0.25">
      <c r="A32" s="12" t="s">
        <v>220</v>
      </c>
      <c r="B32" s="399" t="s">
        <v>293</v>
      </c>
      <c r="C32" s="480">
        <v>0</v>
      </c>
      <c r="D32" s="154" t="str">
        <f>IF(B32="Cítrico","gr","ml")</f>
        <v>ml</v>
      </c>
      <c r="E32" s="152" t="s">
        <v>213</v>
      </c>
      <c r="F32" s="405">
        <v>1</v>
      </c>
      <c r="G32" s="405" t="s">
        <v>210</v>
      </c>
      <c r="H32" s="102"/>
      <c r="I32" s="102">
        <f>IFERROR(IF(G32="Sólido",(HLOOKUP(G32,I60:M64,4,FALSE)*-$Q$26)/F57,(HLOOKUP(G32,I60:M64,4,FALSE)*-$Q$26)),0)</f>
        <v>0</v>
      </c>
      <c r="J32" s="374"/>
      <c r="K32" s="342"/>
    </row>
    <row r="33" spans="1:22" x14ac:dyDescent="0.25">
      <c r="B33" s="156" t="str">
        <f>H57</f>
        <v>Fosfato</v>
      </c>
      <c r="C33" s="82"/>
      <c r="D33" s="155" t="s">
        <v>152</v>
      </c>
      <c r="E33" s="153"/>
      <c r="F33" s="151"/>
      <c r="G33" s="151"/>
      <c r="H33" s="87">
        <f>IFERROR(IF(OR(B33="Cloruro",B33="Sulfato"),HLOOKUP(G32,$I$60:$M$64,4,FALSE)*IF(B33="Sulfato",G57/2,G57),-I32*F57/(Q30*F70)),0)</f>
        <v>0</v>
      </c>
      <c r="I33" s="87"/>
      <c r="J33" s="374" t="str">
        <f t="shared" si="5"/>
        <v/>
      </c>
      <c r="O33" s="141"/>
      <c r="P33" s="142"/>
      <c r="Q33" s="142"/>
      <c r="R33" s="142"/>
      <c r="S33" s="142"/>
      <c r="T33" s="142"/>
      <c r="U33" s="142"/>
      <c r="V33" s="143"/>
    </row>
    <row r="34" spans="1:22" x14ac:dyDescent="0.25">
      <c r="A34" s="12" t="s">
        <v>346</v>
      </c>
      <c r="B34" s="399" t="s">
        <v>421</v>
      </c>
      <c r="C34" s="399">
        <v>0</v>
      </c>
      <c r="D34" s="154" t="str">
        <f>IF(B34="Cítrico","gr","ml")</f>
        <v>ml</v>
      </c>
      <c r="E34" s="152" t="s">
        <v>213</v>
      </c>
      <c r="F34" s="405">
        <v>1</v>
      </c>
      <c r="G34" s="405" t="s">
        <v>343</v>
      </c>
      <c r="H34" s="102"/>
      <c r="I34" s="102">
        <f>IFERROR(IF(G34="Sólido",(HLOOKUP(G34,I60:M64,5,FALSE)*-$Q$26)/F58,(HLOOKUP(G34,I60:M64,4,FALSE)*-$Q$26)),0)</f>
        <v>0</v>
      </c>
      <c r="J34" s="374"/>
      <c r="O34" s="141"/>
      <c r="P34" s="141"/>
      <c r="Q34" s="106"/>
      <c r="R34" s="106"/>
      <c r="S34" s="106"/>
      <c r="T34" s="106"/>
      <c r="U34" s="106"/>
      <c r="V34" s="106"/>
    </row>
    <row r="35" spans="1:22" x14ac:dyDescent="0.25">
      <c r="A35" s="12"/>
      <c r="B35" s="160" t="str">
        <f>H58</f>
        <v>Cloruro</v>
      </c>
      <c r="C35" s="161"/>
      <c r="D35" s="162" t="s">
        <v>152</v>
      </c>
      <c r="E35" s="145"/>
      <c r="F35" s="161"/>
      <c r="G35" s="145"/>
      <c r="H35" s="145">
        <f>IFERROR(IF(OR(B35="Cloruro",B35="Sulfato"),HLOOKUP(G34,$I$60:$M$64,5,FALSE)*IF(B35="Sulfato",G58/2,G58),-I34*F58/(Q32*G70)),0)</f>
        <v>0</v>
      </c>
      <c r="I35" s="145"/>
      <c r="J35" s="374" t="str">
        <f t="shared" si="5"/>
        <v/>
      </c>
      <c r="K35" s="62"/>
      <c r="O35" s="141"/>
      <c r="P35" s="141"/>
      <c r="Q35" s="106"/>
      <c r="R35" s="106"/>
      <c r="S35" s="106"/>
      <c r="T35" s="106"/>
      <c r="U35" s="106"/>
      <c r="V35" s="106"/>
    </row>
    <row r="36" spans="1:22" x14ac:dyDescent="0.25">
      <c r="A36" s="12"/>
      <c r="B36" s="364"/>
      <c r="C36" s="365"/>
      <c r="D36" s="366"/>
      <c r="E36" s="367"/>
      <c r="F36" s="365"/>
      <c r="G36" s="367"/>
      <c r="H36" s="5"/>
      <c r="I36" s="5"/>
      <c r="J36" s="61"/>
      <c r="O36" s="141"/>
      <c r="P36" s="141"/>
      <c r="Q36" s="106"/>
      <c r="R36" s="106"/>
      <c r="S36" s="106"/>
      <c r="T36" s="106"/>
      <c r="U36" s="106"/>
      <c r="V36" s="106"/>
    </row>
    <row r="37" spans="1:22" x14ac:dyDescent="0.25">
      <c r="A37" s="12" t="s">
        <v>218</v>
      </c>
      <c r="B37" s="101" t="str">
        <f>'Agua de Lavado'!C29</f>
        <v>Cítrico</v>
      </c>
      <c r="C37" s="106">
        <f>IF('Agua de Lavado'!$D$12=1,'Agua de Lavado'!E29*$K$16,'Agua de Lavado'!E29)</f>
        <v>0</v>
      </c>
      <c r="D37" s="101" t="str">
        <f>'Agua de Lavado'!F29</f>
        <v>gr</v>
      </c>
      <c r="E37" s="106" t="s">
        <v>213</v>
      </c>
      <c r="F37" s="101">
        <f>'Agua de Lavado'!D16</f>
        <v>0</v>
      </c>
      <c r="G37" s="368" t="str">
        <f>'Agua de Lavado'!E16</f>
        <v>Solido</v>
      </c>
      <c r="H37" s="5"/>
      <c r="I37" s="5"/>
      <c r="J37" s="61"/>
      <c r="K37" s="62"/>
      <c r="O37" s="141"/>
      <c r="P37" s="141"/>
      <c r="Q37" s="106"/>
      <c r="R37" s="106"/>
      <c r="S37" s="106"/>
      <c r="T37" s="106"/>
      <c r="U37" s="106"/>
      <c r="V37" s="106"/>
    </row>
    <row r="38" spans="1:22" x14ac:dyDescent="0.25">
      <c r="B38" s="371" t="str">
        <f>'Agua de Lavado'!C30</f>
        <v>Citrato</v>
      </c>
      <c r="C38" s="103">
        <f>'Agua de Lavado'!E30</f>
        <v>-2311170.2311103302</v>
      </c>
      <c r="D38" s="102" t="str">
        <f>'Agua de Lavado'!F30</f>
        <v>mg/l</v>
      </c>
      <c r="E38" s="103"/>
      <c r="F38" s="102"/>
      <c r="G38" s="102"/>
      <c r="H38" s="5"/>
      <c r="I38" s="5"/>
      <c r="J38" s="61"/>
      <c r="K38" s="62"/>
      <c r="O38" s="141"/>
      <c r="P38" s="141"/>
      <c r="Q38" s="106"/>
      <c r="R38" s="106"/>
      <c r="S38" s="106"/>
      <c r="T38" s="106"/>
      <c r="U38" s="106"/>
      <c r="V38" s="106"/>
    </row>
    <row r="39" spans="1:22" x14ac:dyDescent="0.25">
      <c r="A39" s="12" t="s">
        <v>219</v>
      </c>
      <c r="B39" s="101" t="str">
        <f>'Agua de Lavado'!C31</f>
        <v>Cítrico</v>
      </c>
      <c r="C39" s="106">
        <f>IF('Agua de Lavado'!$D$12=1,'Agua de Lavado'!E31*$K$16,'Agua de Lavado'!E31)</f>
        <v>0</v>
      </c>
      <c r="D39" s="101" t="str">
        <f>'Agua de Lavado'!F31</f>
        <v>gr</v>
      </c>
      <c r="E39" s="106" t="s">
        <v>213</v>
      </c>
      <c r="F39" s="101">
        <f>'Agua de Lavado'!D19</f>
        <v>95</v>
      </c>
      <c r="G39" s="101" t="str">
        <f>'Agua de Lavado'!E19</f>
        <v>%</v>
      </c>
      <c r="H39" s="5"/>
      <c r="I39" s="5"/>
      <c r="J39" s="61"/>
      <c r="O39" s="141"/>
      <c r="P39" s="141"/>
      <c r="Q39" s="106"/>
      <c r="R39" s="106"/>
      <c r="S39" s="106"/>
      <c r="T39" s="106"/>
      <c r="U39" s="106"/>
      <c r="V39" s="106"/>
    </row>
    <row r="40" spans="1:22" x14ac:dyDescent="0.25">
      <c r="B40" s="371" t="str">
        <f>'Agua de Lavado'!C32</f>
        <v>Citrato</v>
      </c>
      <c r="C40" s="103">
        <f>'Agua de Lavado'!E32</f>
        <v>0</v>
      </c>
      <c r="D40" s="102" t="str">
        <f>'Agua de Lavado'!F32</f>
        <v>mg/l</v>
      </c>
      <c r="E40" s="103"/>
      <c r="F40" s="102"/>
      <c r="G40" s="102"/>
      <c r="H40" s="5"/>
      <c r="I40" s="5"/>
      <c r="J40" s="61"/>
      <c r="O40" s="141"/>
      <c r="P40" s="141"/>
      <c r="Q40" s="106"/>
      <c r="R40" s="106"/>
      <c r="S40" s="106"/>
      <c r="T40" s="106"/>
      <c r="U40" s="106"/>
      <c r="V40" s="106"/>
    </row>
    <row r="41" spans="1:22" x14ac:dyDescent="0.25">
      <c r="A41" s="12" t="s">
        <v>220</v>
      </c>
      <c r="B41" s="87" t="str">
        <f>'Agua de Lavado'!C33</f>
        <v>Cítrico</v>
      </c>
      <c r="C41" s="5">
        <f>IF('Agua de Lavado'!$D$12=1,'Agua de Lavado'!E33*$K$16,'Agua de Lavado'!E33)</f>
        <v>0</v>
      </c>
      <c r="D41" s="101" t="str">
        <f>'Agua de Lavado'!F33</f>
        <v>gr</v>
      </c>
      <c r="E41" s="106" t="s">
        <v>213</v>
      </c>
      <c r="F41" s="87">
        <f>'Agua de Lavado'!D22</f>
        <v>95</v>
      </c>
      <c r="G41" s="87" t="str">
        <f>'Agua de Lavado'!E22</f>
        <v>Solido</v>
      </c>
      <c r="H41" s="5"/>
      <c r="I41" s="5"/>
      <c r="J41" s="61"/>
      <c r="O41" s="141"/>
      <c r="P41" s="141"/>
      <c r="Q41" s="106"/>
      <c r="R41" s="106"/>
      <c r="S41" s="106"/>
      <c r="T41" s="106"/>
      <c r="U41" s="106"/>
      <c r="V41" s="106"/>
    </row>
    <row r="42" spans="1:22" x14ac:dyDescent="0.25">
      <c r="B42" s="371" t="str">
        <f>'Agua de Lavado'!C34</f>
        <v>Citrato</v>
      </c>
      <c r="C42" s="103">
        <f>'Agua de Lavado'!E34</f>
        <v>0</v>
      </c>
      <c r="D42" s="102" t="str">
        <f>'Agua de Lavado'!F34</f>
        <v>mg/l</v>
      </c>
      <c r="E42" s="103"/>
      <c r="F42" s="102"/>
      <c r="G42" s="102"/>
      <c r="H42" s="5"/>
      <c r="I42" s="5"/>
      <c r="J42" s="61"/>
      <c r="O42" s="141"/>
      <c r="P42" s="141"/>
      <c r="Q42" s="106"/>
      <c r="R42" s="106"/>
      <c r="S42" s="106"/>
      <c r="T42" s="106"/>
      <c r="U42" s="106"/>
      <c r="V42" s="106"/>
    </row>
    <row r="43" spans="1:22" x14ac:dyDescent="0.25">
      <c r="A43" s="12" t="s">
        <v>346</v>
      </c>
      <c r="B43" s="101" t="str">
        <f>'Agua de Lavado'!C35</f>
        <v>Láctico</v>
      </c>
      <c r="C43" s="106">
        <f>IF('Agua de Lavado'!$D$12=1,'Agua de Lavado'!E35*$K$16,'Agua de Lavado'!E35)</f>
        <v>0</v>
      </c>
      <c r="D43" s="101" t="str">
        <f>'Agua de Lavado'!F35</f>
        <v>ml</v>
      </c>
      <c r="E43" s="106" t="s">
        <v>213</v>
      </c>
      <c r="F43" s="101">
        <f>'Agua de Lavado'!D25</f>
        <v>1</v>
      </c>
      <c r="G43" s="101" t="str">
        <f>'Agua de Lavado'!E25</f>
        <v>N</v>
      </c>
      <c r="H43" s="5"/>
      <c r="I43" s="5"/>
      <c r="J43" s="61"/>
      <c r="O43" s="141"/>
      <c r="P43" s="141"/>
      <c r="Q43" s="106"/>
      <c r="R43" s="106"/>
      <c r="S43" s="106"/>
      <c r="T43" s="106"/>
      <c r="U43" s="106"/>
      <c r="V43" s="106"/>
    </row>
    <row r="44" spans="1:22" x14ac:dyDescent="0.25">
      <c r="A44" s="12"/>
      <c r="B44" s="372" t="str">
        <f>'Agua de Lavado'!C36</f>
        <v>Lactato</v>
      </c>
      <c r="C44" s="370">
        <f>'Agua de Lavado'!E36</f>
        <v>0</v>
      </c>
      <c r="D44" s="369" t="str">
        <f>'Agua de Lavado'!F36</f>
        <v>mg/l</v>
      </c>
      <c r="E44" s="370"/>
      <c r="F44" s="369"/>
      <c r="G44" s="369"/>
      <c r="H44" s="5"/>
      <c r="I44" s="5"/>
      <c r="J44" s="61"/>
      <c r="O44" s="141"/>
      <c r="P44" s="141"/>
      <c r="Q44" s="106"/>
      <c r="R44" s="106"/>
      <c r="S44" s="106"/>
      <c r="T44" s="106"/>
      <c r="U44" s="106"/>
      <c r="V44" s="106"/>
    </row>
    <row r="45" spans="1:22" x14ac:dyDescent="0.25">
      <c r="A45" s="12"/>
      <c r="B45" s="353"/>
      <c r="C45" s="290"/>
      <c r="D45" s="354"/>
      <c r="E45" s="5"/>
      <c r="F45" s="290"/>
      <c r="G45" s="5"/>
      <c r="H45" s="5"/>
      <c r="I45" s="5"/>
      <c r="J45" s="61"/>
      <c r="O45" s="141"/>
      <c r="P45" s="141"/>
      <c r="Q45" s="106"/>
      <c r="R45" s="106"/>
      <c r="S45" s="106"/>
      <c r="T45" s="106"/>
      <c r="U45" s="106"/>
      <c r="V45" s="106"/>
    </row>
    <row r="46" spans="1:22" x14ac:dyDescent="0.25">
      <c r="H46" s="62"/>
      <c r="J46" s="61"/>
      <c r="O46" s="141"/>
      <c r="P46" s="141"/>
      <c r="Q46" s="106"/>
      <c r="R46" s="106"/>
      <c r="S46" s="106"/>
      <c r="T46" s="106"/>
      <c r="U46" s="106"/>
      <c r="V46" s="106"/>
    </row>
    <row r="47" spans="1:22" x14ac:dyDescent="0.25">
      <c r="A47" s="212"/>
      <c r="B47" s="212" t="s">
        <v>214</v>
      </c>
      <c r="C47" s="93" t="s">
        <v>207</v>
      </c>
      <c r="D47" s="222" t="s">
        <v>208</v>
      </c>
      <c r="E47" s="93" t="s">
        <v>209</v>
      </c>
      <c r="F47" s="222" t="s">
        <v>344</v>
      </c>
      <c r="G47" s="219" t="s">
        <v>354</v>
      </c>
      <c r="H47" s="202"/>
      <c r="I47" s="373" t="s">
        <v>456</v>
      </c>
      <c r="O47" s="141"/>
      <c r="P47" s="141"/>
      <c r="Q47" s="106"/>
      <c r="R47" s="106"/>
      <c r="S47" s="106"/>
      <c r="T47" s="106"/>
      <c r="U47" s="106"/>
      <c r="V47" s="106"/>
    </row>
    <row r="48" spans="1:22" x14ac:dyDescent="0.25">
      <c r="A48" s="204">
        <v>1</v>
      </c>
      <c r="B48" s="204" t="s">
        <v>421</v>
      </c>
      <c r="C48" s="223">
        <v>-7</v>
      </c>
      <c r="D48" s="223">
        <v>20</v>
      </c>
      <c r="E48" s="200">
        <v>20</v>
      </c>
      <c r="F48" s="223">
        <v>36.46</v>
      </c>
      <c r="G48" s="205">
        <v>35.46</v>
      </c>
      <c r="H48" s="205" t="s">
        <v>339</v>
      </c>
      <c r="I48" s="223"/>
      <c r="O48" s="141"/>
      <c r="P48" s="141"/>
      <c r="Q48" s="106"/>
      <c r="R48" s="106"/>
      <c r="S48" s="106"/>
      <c r="T48" s="106"/>
      <c r="U48" s="106"/>
      <c r="V48" s="106"/>
    </row>
    <row r="49" spans="1:23" x14ac:dyDescent="0.25">
      <c r="A49" s="206">
        <v>2</v>
      </c>
      <c r="B49" s="206" t="s">
        <v>215</v>
      </c>
      <c r="C49" s="224">
        <v>3.86</v>
      </c>
      <c r="D49" s="224">
        <v>20</v>
      </c>
      <c r="E49" s="201">
        <v>20</v>
      </c>
      <c r="F49" s="224">
        <v>90.08</v>
      </c>
      <c r="G49" s="207">
        <f>89.08</f>
        <v>89.08</v>
      </c>
      <c r="H49" s="207" t="s">
        <v>341</v>
      </c>
      <c r="I49" s="224">
        <v>400</v>
      </c>
      <c r="O49" s="141"/>
      <c r="P49" s="141"/>
      <c r="Q49" s="106"/>
      <c r="R49" s="106"/>
      <c r="S49" s="106"/>
      <c r="T49" s="106"/>
      <c r="U49" s="106"/>
      <c r="V49" s="106"/>
    </row>
    <row r="50" spans="1:23" x14ac:dyDescent="0.25">
      <c r="A50" s="208">
        <v>3</v>
      </c>
      <c r="B50" s="208" t="s">
        <v>293</v>
      </c>
      <c r="C50" s="98">
        <v>2.12</v>
      </c>
      <c r="D50" s="98">
        <v>7.2</v>
      </c>
      <c r="E50" s="4">
        <v>12.44</v>
      </c>
      <c r="F50" s="98">
        <v>98</v>
      </c>
      <c r="G50" s="172">
        <v>95</v>
      </c>
      <c r="H50" s="172" t="s">
        <v>342</v>
      </c>
      <c r="I50" s="98">
        <v>1000</v>
      </c>
      <c r="O50" s="141"/>
      <c r="P50" s="141"/>
      <c r="Q50" s="106"/>
      <c r="R50" s="106"/>
      <c r="S50" s="106"/>
      <c r="T50" s="106"/>
      <c r="U50" s="106"/>
      <c r="V50" s="106"/>
    </row>
    <row r="51" spans="1:23" x14ac:dyDescent="0.25">
      <c r="A51" s="206">
        <v>4</v>
      </c>
      <c r="B51" s="206" t="s">
        <v>216</v>
      </c>
      <c r="C51" s="224">
        <v>-1</v>
      </c>
      <c r="D51" s="224">
        <v>1.92</v>
      </c>
      <c r="E51" s="201">
        <v>20</v>
      </c>
      <c r="F51" s="224">
        <v>98.07</v>
      </c>
      <c r="G51" s="207">
        <v>96.07</v>
      </c>
      <c r="H51" s="207" t="s">
        <v>251</v>
      </c>
      <c r="I51" s="224"/>
      <c r="O51" s="141"/>
      <c r="P51" s="141"/>
      <c r="Q51" s="106"/>
      <c r="R51" s="106"/>
      <c r="S51" s="106"/>
      <c r="T51" s="106"/>
      <c r="U51" s="106"/>
      <c r="V51" s="106"/>
    </row>
    <row r="52" spans="1:23" x14ac:dyDescent="0.25">
      <c r="A52" s="209">
        <v>5</v>
      </c>
      <c r="B52" s="209" t="s">
        <v>217</v>
      </c>
      <c r="C52" s="100">
        <v>3.14</v>
      </c>
      <c r="D52" s="100">
        <v>4.7699999999999996</v>
      </c>
      <c r="E52" s="91">
        <v>6.39</v>
      </c>
      <c r="F52" s="100">
        <v>192.13</v>
      </c>
      <c r="G52" s="211">
        <v>189.13</v>
      </c>
      <c r="H52" s="211" t="s">
        <v>340</v>
      </c>
      <c r="I52" s="100">
        <v>150</v>
      </c>
      <c r="O52" s="141"/>
      <c r="P52" s="141"/>
      <c r="Q52" s="106"/>
      <c r="R52" s="106"/>
      <c r="S52" s="106"/>
      <c r="T52" s="106"/>
      <c r="U52" s="106"/>
      <c r="V52" s="106"/>
    </row>
    <row r="53" spans="1:23" x14ac:dyDescent="0.25">
      <c r="A53" s="4"/>
      <c r="B53" s="4"/>
      <c r="C53" s="4"/>
      <c r="D53" s="4"/>
      <c r="E53" s="4"/>
      <c r="F53" s="4"/>
      <c r="G53" s="106"/>
      <c r="H53" s="4"/>
      <c r="O53" s="141"/>
      <c r="P53" s="141"/>
      <c r="Q53" s="106"/>
      <c r="R53" s="106"/>
      <c r="S53" s="106"/>
      <c r="T53" s="106"/>
      <c r="U53" s="106"/>
      <c r="V53" s="106"/>
    </row>
    <row r="54" spans="1:23" x14ac:dyDescent="0.25">
      <c r="A54" s="4"/>
      <c r="B54" t="s">
        <v>405</v>
      </c>
      <c r="C54" t="s">
        <v>207</v>
      </c>
      <c r="D54" t="s">
        <v>208</v>
      </c>
      <c r="E54" t="s">
        <v>209</v>
      </c>
      <c r="F54" t="s">
        <v>344</v>
      </c>
      <c r="G54" t="s">
        <v>354</v>
      </c>
      <c r="I54" t="s">
        <v>2</v>
      </c>
      <c r="J54" t="s">
        <v>523</v>
      </c>
      <c r="O54" s="141"/>
      <c r="P54" s="141"/>
      <c r="Q54" s="106"/>
      <c r="R54" s="106"/>
      <c r="S54" s="106"/>
      <c r="T54" s="106"/>
      <c r="U54" s="106"/>
      <c r="V54" s="106"/>
    </row>
    <row r="55" spans="1:23" x14ac:dyDescent="0.25">
      <c r="A55">
        <f>INDEX($A$48:$A$52,MATCH($B$28,$B$48:$B$52,0))</f>
        <v>5</v>
      </c>
      <c r="B55" t="str">
        <f>VLOOKUP($A55,$A$48:$G$52,2,FALSE)</f>
        <v>Cítrico</v>
      </c>
      <c r="C55">
        <f>VLOOKUP($A55,$A$48:$G$52,3,FALSE)</f>
        <v>3.14</v>
      </c>
      <c r="D55">
        <f>VLOOKUP($A55,$A$48:$G$52,4,FALSE)</f>
        <v>4.7699999999999996</v>
      </c>
      <c r="E55">
        <f>VLOOKUP($A55,$A$48:$G$52,5,FALSE)</f>
        <v>6.39</v>
      </c>
      <c r="F55">
        <f>VLOOKUP($A55,$A$48:$G$52,6,FALSE)</f>
        <v>192.13</v>
      </c>
      <c r="G55">
        <f>VLOOKUP($A55,$A$48:$G$52,7,FALSE)</f>
        <v>189.13</v>
      </c>
      <c r="H55" t="str">
        <f>VLOOKUP($A55,$A$48:$H$52,8,FALSE)</f>
        <v>Citrato</v>
      </c>
      <c r="I55" s="375">
        <f>VLOOKUP(B55,C72:G77,2,FALSE)</f>
        <v>1480</v>
      </c>
      <c r="J55">
        <f>VLOOKUP($A55,$A$48:$I$52,9,FALSE)</f>
        <v>150</v>
      </c>
      <c r="O55" s="141"/>
      <c r="P55" s="141"/>
      <c r="Q55" s="106"/>
      <c r="R55" s="106"/>
      <c r="S55" s="106"/>
      <c r="T55" s="106"/>
      <c r="U55" s="106"/>
      <c r="V55" s="106"/>
    </row>
    <row r="56" spans="1:23" x14ac:dyDescent="0.25">
      <c r="A56">
        <f>INDEX($A$48:$A$52,MATCH($B$30,$B$48:$B$52,0))</f>
        <v>2</v>
      </c>
      <c r="B56" t="str">
        <f>VLOOKUP($A56,$A$48:$G$52,2,FALSE)</f>
        <v>Láctico</v>
      </c>
      <c r="C56">
        <f>VLOOKUP($A56,$A$48:$G$52,3,FALSE)</f>
        <v>3.86</v>
      </c>
      <c r="D56">
        <f>VLOOKUP($A56,$A$48:$G$52,4,FALSE)</f>
        <v>20</v>
      </c>
      <c r="E56">
        <f>VLOOKUP($A56,$A$48:$G$52,5,FALSE)</f>
        <v>20</v>
      </c>
      <c r="F56">
        <f>VLOOKUP($A56,$A$48:$G$52,6,FALSE)</f>
        <v>90.08</v>
      </c>
      <c r="G56">
        <f>VLOOKUP($A56,$A$48:$G$52,7,FALSE)</f>
        <v>89.08</v>
      </c>
      <c r="H56" t="str">
        <f>VLOOKUP($A56,$A$48:$H$52,8,FALSE)</f>
        <v>Lactato</v>
      </c>
      <c r="I56" s="375">
        <f>VLOOKUP(B56,C73:G78,3,FALSE)</f>
        <v>1218.8149615437501</v>
      </c>
      <c r="J56">
        <f t="shared" ref="J56:J58" si="6">VLOOKUP($A56,$A$48:$I$52,9,FALSE)</f>
        <v>400</v>
      </c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</row>
    <row r="57" spans="1:23" x14ac:dyDescent="0.25">
      <c r="A57">
        <f>INDEX($A$48:$A$52,MATCH($B$32,$B$48:$B$52,0))</f>
        <v>3</v>
      </c>
      <c r="B57" t="str">
        <f>VLOOKUP($A57,$A$48:$G$52,2,FALSE)</f>
        <v>Fosfórico</v>
      </c>
      <c r="C57">
        <f>VLOOKUP($A57,$A$48:$G$52,3,FALSE)</f>
        <v>2.12</v>
      </c>
      <c r="D57">
        <f>VLOOKUP($A57,$A$48:$G$52,4,FALSE)</f>
        <v>7.2</v>
      </c>
      <c r="E57">
        <f>VLOOKUP($A57,$A$48:$G$52,5,FALSE)</f>
        <v>12.44</v>
      </c>
      <c r="F57">
        <f>VLOOKUP($A57,$A$48:$G$52,6,FALSE)</f>
        <v>98</v>
      </c>
      <c r="G57">
        <f>VLOOKUP($A57,$A$48:$G$52,7,FALSE)</f>
        <v>95</v>
      </c>
      <c r="H57" t="str">
        <f>VLOOKUP($A57,$A$48:$H$52,8,FALSE)</f>
        <v>Fosfato</v>
      </c>
      <c r="I57" s="375">
        <f>VLOOKUP(B57,C72:G77,4,FALSE)</f>
        <v>1003.2949065076999</v>
      </c>
      <c r="J57">
        <f t="shared" si="6"/>
        <v>1000</v>
      </c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</row>
    <row r="58" spans="1:23" x14ac:dyDescent="0.25">
      <c r="A58">
        <f>INDEX($A$48:$A$52,MATCH($B$34,$B$48:$B$52,0))</f>
        <v>1</v>
      </c>
      <c r="B58" t="str">
        <f>VLOOKUP($A58,$A$48:$G$52,2,FALSE)</f>
        <v>Clorhídrico</v>
      </c>
      <c r="C58">
        <f>VLOOKUP($A58,$A$48:$G$52,3,FALSE)</f>
        <v>-7</v>
      </c>
      <c r="D58">
        <f>VLOOKUP($A58,$A$48:$G$52,4,FALSE)</f>
        <v>20</v>
      </c>
      <c r="E58">
        <f>VLOOKUP($A58,$A$48:$G$52,5,FALSE)</f>
        <v>20</v>
      </c>
      <c r="F58">
        <f>VLOOKUP($A58,$A$48:$G$52,6,FALSE)</f>
        <v>36.46</v>
      </c>
      <c r="G58">
        <f>VLOOKUP($A58,$A$48:$G$52,7,FALSE)</f>
        <v>35.46</v>
      </c>
      <c r="H58" t="str">
        <f>VLOOKUP($A58,$A$48:$H$52,8,FALSE)</f>
        <v>Cloruro</v>
      </c>
      <c r="I58" s="375">
        <f>VLOOKUP(B58,C72:G77,5,FALSE)</f>
        <v>1002.78478234</v>
      </c>
      <c r="J58">
        <f t="shared" si="6"/>
        <v>0</v>
      </c>
      <c r="M58" s="141"/>
      <c r="N58" s="141"/>
      <c r="O58" s="106"/>
      <c r="P58" s="106"/>
      <c r="Q58" s="106"/>
      <c r="R58" s="106"/>
      <c r="S58" s="106"/>
      <c r="T58" s="106"/>
      <c r="U58" s="106"/>
      <c r="V58" s="106"/>
      <c r="W58" s="106"/>
    </row>
    <row r="59" spans="1:23" x14ac:dyDescent="0.25">
      <c r="M59" s="141"/>
      <c r="N59" s="141"/>
      <c r="O59" s="106"/>
      <c r="P59" s="106"/>
      <c r="Q59" s="106"/>
      <c r="R59" s="106"/>
      <c r="S59" s="106"/>
      <c r="T59" s="106"/>
      <c r="U59" s="106"/>
      <c r="V59" s="106"/>
      <c r="W59" s="106"/>
    </row>
    <row r="60" spans="1:23" x14ac:dyDescent="0.25">
      <c r="I60" s="249"/>
      <c r="J60" s="240" t="s">
        <v>210</v>
      </c>
      <c r="K60" s="241" t="s">
        <v>211</v>
      </c>
      <c r="L60" s="242" t="s">
        <v>5</v>
      </c>
      <c r="M60" s="241" t="s">
        <v>343</v>
      </c>
      <c r="N60" s="376"/>
      <c r="O60" s="106"/>
      <c r="P60" s="106"/>
      <c r="Q60" s="106"/>
      <c r="R60" s="106"/>
      <c r="S60" s="106"/>
      <c r="T60" s="106"/>
      <c r="U60" s="106"/>
      <c r="V60" s="106"/>
      <c r="W60" s="106"/>
    </row>
    <row r="61" spans="1:23" x14ac:dyDescent="0.25">
      <c r="A61" s="238"/>
      <c r="B61" s="239"/>
      <c r="C61" s="240"/>
      <c r="D61" s="241" t="s">
        <v>355</v>
      </c>
      <c r="E61" s="242" t="s">
        <v>356</v>
      </c>
      <c r="F61" s="241" t="s">
        <v>357</v>
      </c>
      <c r="G61" s="243" t="s">
        <v>358</v>
      </c>
      <c r="I61" s="250" t="s">
        <v>355</v>
      </c>
      <c r="J61" s="244" t="e">
        <f>(C28/$B$16*F28)</f>
        <v>#DIV/0!</v>
      </c>
      <c r="K61" s="236" t="e">
        <f>J61*D70</f>
        <v>#DIV/0!</v>
      </c>
      <c r="L61" s="123" t="e">
        <f>K61/100*I55/F55</f>
        <v>#DIV/0!</v>
      </c>
      <c r="M61" s="236" t="e">
        <f>((C28/B16)*1000*D70)</f>
        <v>#DIV/0!</v>
      </c>
      <c r="N61" s="141"/>
      <c r="O61" s="106"/>
      <c r="P61" s="106"/>
      <c r="Q61" s="106"/>
      <c r="R61" s="106"/>
      <c r="S61" s="106"/>
      <c r="T61" s="106"/>
      <c r="U61" s="106"/>
      <c r="V61" s="106"/>
      <c r="W61" s="106"/>
    </row>
    <row r="62" spans="1:23" x14ac:dyDescent="0.25">
      <c r="A62" s="232"/>
      <c r="B62" s="233" t="s">
        <v>330</v>
      </c>
      <c r="C62" s="244" t="s">
        <v>323</v>
      </c>
      <c r="D62" s="236">
        <f>POWER(10,(5.4-C55))</f>
        <v>181.97008586099847</v>
      </c>
      <c r="E62" s="123">
        <f>POWER(10,(5.4-C56))</f>
        <v>34.673685045253208</v>
      </c>
      <c r="F62" s="236">
        <f>POWER(10,(5.4-C57))</f>
        <v>1905.4607179632501</v>
      </c>
      <c r="G62" s="237">
        <f>POWER(10,(5.4-C58))</f>
        <v>2511886431509.5859</v>
      </c>
      <c r="I62" s="251" t="s">
        <v>356</v>
      </c>
      <c r="J62" s="206" t="e">
        <f>(C30/$B$16*F30)</f>
        <v>#DIV/0!</v>
      </c>
      <c r="K62" s="224" t="e">
        <f>J62*E70</f>
        <v>#DIV/0!</v>
      </c>
      <c r="L62" s="201" t="e">
        <f t="shared" ref="L62:L64" si="7">K62/100*I56/F56</f>
        <v>#DIV/0!</v>
      </c>
      <c r="M62" s="224" t="e">
        <f>(C30/$B$16*1000*F56)</f>
        <v>#DIV/0!</v>
      </c>
      <c r="N62" s="141"/>
      <c r="O62" s="141"/>
      <c r="P62" s="106"/>
      <c r="Q62" s="141"/>
      <c r="R62" s="141"/>
      <c r="S62" s="106"/>
      <c r="T62" s="141"/>
      <c r="U62" s="141"/>
      <c r="V62" s="106"/>
      <c r="W62" s="141"/>
    </row>
    <row r="63" spans="1:23" x14ac:dyDescent="0.25">
      <c r="A63" s="206"/>
      <c r="B63" s="234" t="s">
        <v>331</v>
      </c>
      <c r="C63" s="206" t="s">
        <v>324</v>
      </c>
      <c r="D63" s="224">
        <f>POWER(10,(5.4-D55))</f>
        <v>4.265795188015935</v>
      </c>
      <c r="E63" s="201">
        <f>POWER(10,(5.4-D56))</f>
        <v>2.5118864315095734E-15</v>
      </c>
      <c r="F63" s="224">
        <f>POWER(10,(5.4-D57))</f>
        <v>1.5848931924611138E-2</v>
      </c>
      <c r="G63" s="207">
        <f>POWER(10,(5.4-D58))</f>
        <v>2.5118864315095734E-15</v>
      </c>
      <c r="I63" s="250" t="s">
        <v>357</v>
      </c>
      <c r="J63" s="245" t="e">
        <f>(C32/$B$16*F32)</f>
        <v>#DIV/0!</v>
      </c>
      <c r="K63" s="98" t="e">
        <f>J63*F70</f>
        <v>#DIV/0!</v>
      </c>
      <c r="L63" s="4" t="e">
        <f t="shared" si="7"/>
        <v>#DIV/0!</v>
      </c>
      <c r="M63" s="98" t="e">
        <f>(C32/$B$16*1000*F57)</f>
        <v>#DIV/0!</v>
      </c>
      <c r="N63" s="141"/>
      <c r="O63" s="141"/>
      <c r="P63" s="106"/>
      <c r="Q63" s="141"/>
      <c r="R63" s="141"/>
      <c r="S63" s="106"/>
      <c r="T63" s="141"/>
      <c r="U63" s="141"/>
      <c r="V63" s="106"/>
      <c r="W63" s="141"/>
    </row>
    <row r="64" spans="1:23" x14ac:dyDescent="0.25">
      <c r="A64" s="208"/>
      <c r="B64" s="233" t="s">
        <v>332</v>
      </c>
      <c r="C64" s="245" t="s">
        <v>325</v>
      </c>
      <c r="D64" s="98">
        <f>POWER(10,(5.4-E55))</f>
        <v>0.10232929922807556</v>
      </c>
      <c r="E64" s="4">
        <f>POWER(10,(5.4-E56))</f>
        <v>2.5118864315095734E-15</v>
      </c>
      <c r="F64" s="98">
        <f>POWER(10,(5.4-E57))</f>
        <v>9.120108393559095E-8</v>
      </c>
      <c r="G64" s="172">
        <f>POWER(10,(5.4-E58))</f>
        <v>2.5118864315095734E-15</v>
      </c>
      <c r="I64" s="253" t="s">
        <v>358</v>
      </c>
      <c r="J64" s="254" t="e">
        <f>(C34/$B$16*F34)</f>
        <v>#DIV/0!</v>
      </c>
      <c r="K64" s="255" t="e">
        <f>J64*G70</f>
        <v>#DIV/0!</v>
      </c>
      <c r="L64" s="256" t="e">
        <f t="shared" si="7"/>
        <v>#DIV/0!</v>
      </c>
      <c r="M64" s="255" t="e">
        <f>(C34/$B$16*1000*F58)</f>
        <v>#DIV/0!</v>
      </c>
      <c r="N64" s="141"/>
      <c r="O64" s="141"/>
      <c r="P64" s="106"/>
      <c r="Q64" s="141"/>
      <c r="R64" s="141"/>
      <c r="S64" s="106"/>
      <c r="T64" s="141"/>
      <c r="U64" s="141"/>
      <c r="V64" s="106"/>
      <c r="W64" s="141"/>
    </row>
    <row r="65" spans="1:23" x14ac:dyDescent="0.25">
      <c r="A65" s="225"/>
      <c r="B65" s="234" t="s">
        <v>334</v>
      </c>
      <c r="C65" s="225" t="s">
        <v>326</v>
      </c>
      <c r="D65" s="226">
        <f>(1+D62+(D62*D63)+(D62*D63*D64))</f>
        <v>1038.6500259621207</v>
      </c>
      <c r="E65" s="227">
        <f t="shared" ref="E65:G65" si="8">(1+E62+(E62*E63)+(E62*E63*E64))</f>
        <v>35.673685045253293</v>
      </c>
      <c r="F65" s="226">
        <f t="shared" si="8"/>
        <v>1936.6602379214989</v>
      </c>
      <c r="G65" s="228">
        <f t="shared" si="8"/>
        <v>2511886431510.5923</v>
      </c>
      <c r="M65" s="141"/>
      <c r="N65" s="141"/>
      <c r="O65" s="141"/>
      <c r="P65" s="106"/>
      <c r="Q65" s="141"/>
      <c r="R65" s="141"/>
      <c r="S65" s="106"/>
      <c r="T65" s="141"/>
      <c r="U65" s="141"/>
      <c r="V65" s="106"/>
      <c r="W65" s="141"/>
    </row>
    <row r="66" spans="1:23" x14ac:dyDescent="0.25">
      <c r="A66" s="208"/>
      <c r="B66" s="233" t="s">
        <v>333</v>
      </c>
      <c r="C66" s="245" t="s">
        <v>327</v>
      </c>
      <c r="D66" s="98">
        <f>1/D65</f>
        <v>9.6278821066189408E-4</v>
      </c>
      <c r="E66" s="4">
        <f t="shared" ref="E66:G66" si="9">1/E65</f>
        <v>2.8031867151696432E-2</v>
      </c>
      <c r="F66" s="98">
        <f t="shared" si="9"/>
        <v>5.1635283278869811E-4</v>
      </c>
      <c r="G66" s="172">
        <f t="shared" si="9"/>
        <v>3.9810717055333683E-13</v>
      </c>
      <c r="O66" s="141"/>
      <c r="P66" s="106"/>
      <c r="Q66" s="141"/>
      <c r="R66" s="141"/>
      <c r="S66" s="106"/>
      <c r="T66" s="141"/>
      <c r="U66" s="141"/>
      <c r="V66" s="106"/>
      <c r="W66" s="141"/>
    </row>
    <row r="67" spans="1:23" x14ac:dyDescent="0.25">
      <c r="A67" s="225"/>
      <c r="B67" s="234" t="s">
        <v>336</v>
      </c>
      <c r="C67" s="246" t="s">
        <v>328</v>
      </c>
      <c r="D67" s="229">
        <f>D66*D62</f>
        <v>0.17519865336010196</v>
      </c>
      <c r="E67" s="230">
        <f t="shared" ref="E67:G67" si="10">E66*E62</f>
        <v>0.97196813284830119</v>
      </c>
      <c r="F67" s="229">
        <f t="shared" si="10"/>
        <v>0.98389003948791076</v>
      </c>
      <c r="G67" s="231">
        <f t="shared" si="10"/>
        <v>0.99999999999959932</v>
      </c>
      <c r="O67" s="141"/>
      <c r="P67" s="106"/>
      <c r="Q67" s="141"/>
      <c r="R67" s="141"/>
      <c r="S67" s="106"/>
      <c r="T67" s="141"/>
      <c r="U67" s="141"/>
      <c r="V67" s="106"/>
      <c r="W67" s="141"/>
    </row>
    <row r="68" spans="1:23" x14ac:dyDescent="0.25">
      <c r="A68" s="232"/>
      <c r="B68" s="233" t="s">
        <v>359</v>
      </c>
      <c r="C68" s="247" t="s">
        <v>329</v>
      </c>
      <c r="D68" s="223">
        <f>D63*D67</f>
        <v>0.74736157245039481</v>
      </c>
      <c r="E68" s="200">
        <f t="shared" ref="E68:G68" si="11">E63*E67</f>
        <v>2.4414735647613423E-15</v>
      </c>
      <c r="F68" s="223">
        <f t="shared" si="11"/>
        <v>1.5593606257146862E-2</v>
      </c>
      <c r="G68" s="205">
        <f t="shared" si="11"/>
        <v>2.5118864315085668E-15</v>
      </c>
      <c r="O68" s="141"/>
      <c r="P68" s="106"/>
      <c r="Q68" s="141"/>
      <c r="R68" s="141"/>
      <c r="S68" s="106"/>
      <c r="T68" s="141"/>
      <c r="U68" s="141"/>
      <c r="V68" s="106"/>
      <c r="W68" s="141"/>
    </row>
    <row r="69" spans="1:23" x14ac:dyDescent="0.25">
      <c r="A69" s="206"/>
      <c r="B69" s="234" t="s">
        <v>360</v>
      </c>
      <c r="C69" s="206" t="s">
        <v>335</v>
      </c>
      <c r="D69" s="224">
        <f>D64*D68</f>
        <v>7.6476985978841519E-2</v>
      </c>
      <c r="E69" s="201">
        <f t="shared" ref="E69:G69" si="12">E64*E68</f>
        <v>6.1327043202133255E-30</v>
      </c>
      <c r="F69" s="224">
        <f t="shared" si="12"/>
        <v>1.4221537931166073E-9</v>
      </c>
      <c r="G69" s="207">
        <f t="shared" si="12"/>
        <v>6.3095734447993707E-30</v>
      </c>
      <c r="O69" s="141"/>
      <c r="P69" s="106"/>
      <c r="Q69" s="141"/>
      <c r="R69" s="141"/>
      <c r="S69" s="106"/>
      <c r="T69" s="141"/>
      <c r="U69" s="141"/>
      <c r="V69" s="106"/>
      <c r="W69" s="141"/>
    </row>
    <row r="70" spans="1:23" x14ac:dyDescent="0.25">
      <c r="A70" s="209"/>
      <c r="B70" s="235" t="s">
        <v>362</v>
      </c>
      <c r="C70" s="248" t="s">
        <v>212</v>
      </c>
      <c r="D70" s="100">
        <f>D67+2*D68+3*D69</f>
        <v>1.8993527561974162</v>
      </c>
      <c r="E70" s="91">
        <f t="shared" ref="E70:G70" si="13">E67+2*E68+3*E69</f>
        <v>0.97196813284830608</v>
      </c>
      <c r="F70" s="100">
        <f t="shared" si="13"/>
        <v>1.0150772562686659</v>
      </c>
      <c r="G70" s="211">
        <f t="shared" si="13"/>
        <v>0.99999999999960432</v>
      </c>
      <c r="O70" s="141"/>
      <c r="P70" s="106"/>
      <c r="Q70" s="141"/>
      <c r="R70" s="141"/>
      <c r="S70" s="106"/>
      <c r="T70" s="141"/>
      <c r="U70" s="141"/>
      <c r="V70" s="106"/>
      <c r="W70" s="141"/>
    </row>
    <row r="72" spans="1:23" x14ac:dyDescent="0.25">
      <c r="C72" s="249" t="s">
        <v>2</v>
      </c>
      <c r="D72" s="240" t="s">
        <v>355</v>
      </c>
      <c r="E72" s="241" t="s">
        <v>356</v>
      </c>
      <c r="F72" s="242" t="s">
        <v>357</v>
      </c>
      <c r="G72" s="241" t="s">
        <v>358</v>
      </c>
    </row>
    <row r="73" spans="1:23" x14ac:dyDescent="0.25">
      <c r="C73" s="250" t="s">
        <v>421</v>
      </c>
      <c r="D73" s="244">
        <f>1000*((-3.1666*10^(-7)*($F$28^3))+(1.8499*10^(-5)*($F$28^2))+(4.7666*10^(-3)*$F$28)+0.998)</f>
        <v>998</v>
      </c>
      <c r="E73" s="236">
        <f>1000*((-3.1666*10^(-7)*($F$30^3))+(1.8499*10^(-5)*($F$30^2))+(4.7666*10^(-3)*$F$30)+0.998)</f>
        <v>1346.2841075000001</v>
      </c>
      <c r="F73" s="123">
        <f>1000*((-3.1666*10^(-7)*($F$32^3))+(1.8499*10^(-5)*($F$32^2))+(4.7666*10^(-3)*$F$32)+0.998)</f>
        <v>1002.78478234</v>
      </c>
      <c r="G73" s="236">
        <f>1000*((-3.1666*10^(-7)*($F$34^3))+(1.8499*10^(-5)*($F$34^2))+(4.7666*10^(-3)*$F$34)+0.998)</f>
        <v>1002.78478234</v>
      </c>
    </row>
    <row r="74" spans="1:23" x14ac:dyDescent="0.25">
      <c r="C74" s="251" t="s">
        <v>215</v>
      </c>
      <c r="D74" s="206">
        <f>1000*((-5.6193*10^(-10)*($F$28^4))+(5.115*10^(-8)*($F$28^3))+(-1.1408*10^(-6)*($F$28^2))+(2.4529*10^(-3)*$F$28)+0.998)</f>
        <v>998</v>
      </c>
      <c r="E74" s="224">
        <f>1000*((-5.6193*10^(-10)*($F$30^4))+(5.115*10^(-8)*($F$30^3))+(-1.1408*10^(-6)*($F$30^2))+(2.4529*10^(-3)*$F$30)+0.998)</f>
        <v>1218.8149615437501</v>
      </c>
      <c r="F74" s="201">
        <f>1000*((-5.6193*10^(-10)*($F$32^4))+(5.115*10^(-8)*($F$32^3))+(-1.1408*10^(-6)*($F$32^2))+(2.4529*10^(-3)*$F$32)+0.998)</f>
        <v>1000.4518097880699</v>
      </c>
      <c r="G74" s="224">
        <f>1000*((-5.6193*10^(-10)*($F$34^4))+(5.115*10^(-8)*($F$34^3))+(-1.1408*10^(-6)*($F$34^2))+(2.4529*10^(-3)*$F$34)+0.998)</f>
        <v>1000.4518097880699</v>
      </c>
    </row>
    <row r="75" spans="1:23" x14ac:dyDescent="0.25">
      <c r="C75" s="250" t="s">
        <v>293</v>
      </c>
      <c r="D75" s="245">
        <f>1000*((-3.9523*10^(-9)*($F$28^4))+(6.8571*10^(-7)*($F$28^3))+(5.4475*10^(-7)*($F$28^2))+(5.51368*10^(-3)*$F$28)+0.99778)</f>
        <v>997.78</v>
      </c>
      <c r="E75" s="98">
        <f>1000*((-3.9523*10^(-9)*($F$30^4))+(6.8571*10^(-7)*($F$30^3))+(5.4475*10^(-7)*($F$30^2))+(5.51368*10^(-3)*$F$30)+0.99778)</f>
        <v>1792.4892748125001</v>
      </c>
      <c r="F75" s="4">
        <f>1000*((-3.9523*10^(-9)*($F$34^4))+(6.8571*10^(-7)*($F$34^3))+(5.4475*10^(-7)*($F$34^2))+(5.51368*10^(-3)*$F$34)+0.99778)</f>
        <v>1003.2949065076999</v>
      </c>
      <c r="G75" s="98">
        <f>1000*((-3.9523*10^(-9)*($F$34^4))+(6.8571*10^(-7)*($F$34^3))+(5.4475*10^(-7)*($F$34^2))+(5.51368*10^(-3)*$F$34)+0.99778)</f>
        <v>1003.2949065076999</v>
      </c>
    </row>
    <row r="76" spans="1:23" x14ac:dyDescent="0.25">
      <c r="C76" s="251" t="s">
        <v>216</v>
      </c>
      <c r="D76" s="225">
        <f>1000*((-2.0911*10^(-8)*($F$28^4))+(3.4312*10^(-6)*($F$28^3))+(-1.3954*10^(-4)*($F$28^2))+(9.0885*10^(-3)*$F$28)+0.9947)</f>
        <v>994.7</v>
      </c>
      <c r="E76" s="226">
        <f>1000*((-2.0911*10^(-8)*($F$30^4))+(3.4312*10^(-6)*($F$30^3))+(-1.3954*10^(-4)*($F$30^2))+(9.0885*10^(-3)*$F$30)+0.9947)</f>
        <v>1837.3700806249999</v>
      </c>
      <c r="F76" s="227">
        <f>1000*((-2.0911*10^(-8)*($G$22^4))+(3.4312*10^(-6)*($G$22^3))+(-1.3954*10^(-4)*($G$22^2))+(9.0885*10^(-3)*$G$22)+0.9947)</f>
        <v>994.7</v>
      </c>
      <c r="G76" s="226">
        <f>1000*((-2.0911*10^(-8)*($G$25^4))+(3.4312*10^(-6)*($G$25^3))+(-1.3954*10^(-4)*($G$25^2))+(9.0885*10^(-3)*$G$25)+0.9947)</f>
        <v>994.7</v>
      </c>
    </row>
    <row r="77" spans="1:23" x14ac:dyDescent="0.25">
      <c r="C77" s="252" t="s">
        <v>217</v>
      </c>
      <c r="D77" s="248">
        <v>1480</v>
      </c>
      <c r="E77" s="100">
        <v>1480</v>
      </c>
      <c r="F77" s="91">
        <v>1480</v>
      </c>
      <c r="G77" s="100">
        <v>1480</v>
      </c>
    </row>
  </sheetData>
  <sheetProtection algorithmName="SHA-512" hashValue="7OTgruxlxdWqwsP7FlYFn6Boi/FZOQhZWYoDT/Ce8CRiV9hLSA0OEjBXn9fg3KNCaSI0562gaDmnWLPDuotkjA==" saltValue="0VZXCu1NUl8Y2zCihGcxNA==" spinCount="100000" sheet="1" objects="1" scenarios="1"/>
  <dataValidations count="4">
    <dataValidation type="list" allowBlank="1" showInputMessage="1" showErrorMessage="1" sqref="B28 B32 B30 B34" xr:uid="{00000000-0002-0000-0500-000000000000}">
      <formula1>$B$48:$B$52</formula1>
    </dataValidation>
    <dataValidation type="list" allowBlank="1" showInputMessage="1" showErrorMessage="1" sqref="G28 G30 G32 G34" xr:uid="{00000000-0002-0000-0500-000001000000}">
      <formula1>"%,N,M,Sólido"</formula1>
    </dataValidation>
    <dataValidation type="list" allowBlank="1" showInputMessage="1" showErrorMessage="1" sqref="C5" xr:uid="{00000000-0002-0000-0500-000002000000}">
      <formula1>listaagua</formula1>
    </dataValidation>
    <dataValidation type="list" allowBlank="1" showInputMessage="1" showErrorMessage="1" sqref="C7" xr:uid="{00000000-0002-0000-0500-000003000000}">
      <formula1>listdil</formula1>
    </dataValidation>
  </dataValidations>
  <pageMargins left="0.7" right="0.7" top="0.75" bottom="0.75" header="0.3" footer="0.3"/>
  <pageSetup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G35"/>
  <sheetViews>
    <sheetView showRuler="0" view="pageLayout" topLeftCell="A4" zoomScaleNormal="100" workbookViewId="0">
      <selection activeCell="B17" sqref="B17"/>
    </sheetView>
  </sheetViews>
  <sheetFormatPr baseColWidth="10" defaultRowHeight="15" x14ac:dyDescent="0.25"/>
  <cols>
    <col min="1" max="1" width="17.28515625" customWidth="1"/>
    <col min="2" max="2" width="11.85546875" customWidth="1"/>
    <col min="3" max="3" width="10.7109375" customWidth="1"/>
    <col min="4" max="4" width="9.7109375" customWidth="1"/>
    <col min="5" max="5" width="11.28515625" customWidth="1"/>
    <col min="6" max="6" width="13.7109375" customWidth="1"/>
    <col min="7" max="7" width="12.7109375" customWidth="1"/>
  </cols>
  <sheetData>
    <row r="5" spans="1:7" ht="27" x14ac:dyDescent="0.25">
      <c r="A5" s="460" t="s">
        <v>186</v>
      </c>
      <c r="B5" s="417" t="s">
        <v>501</v>
      </c>
      <c r="C5" s="417" t="s">
        <v>502</v>
      </c>
      <c r="D5" s="417" t="s">
        <v>503</v>
      </c>
      <c r="E5" s="417" t="s">
        <v>504</v>
      </c>
      <c r="F5" s="417" t="s">
        <v>505</v>
      </c>
      <c r="G5" s="417" t="s">
        <v>506</v>
      </c>
    </row>
    <row r="6" spans="1:7" x14ac:dyDescent="0.25">
      <c r="A6" s="461" t="str">
        <f>+'Modificacion Agua'!C5</f>
        <v>Dorada balanceada</v>
      </c>
      <c r="B6" s="418">
        <f>'Modificacion Agua'!D5</f>
        <v>50</v>
      </c>
      <c r="C6" s="419">
        <f>'Modificacion Agua'!E5</f>
        <v>7</v>
      </c>
      <c r="D6" s="418">
        <f>'Modificacion Agua'!F5</f>
        <v>5</v>
      </c>
      <c r="E6" s="419">
        <f>'Modificacion Agua'!G5</f>
        <v>75</v>
      </c>
      <c r="F6" s="418">
        <f>'Modificacion Agua'!H5</f>
        <v>60</v>
      </c>
      <c r="G6" s="420">
        <f>'Modificacion Agua'!I5</f>
        <v>0</v>
      </c>
    </row>
    <row r="7" spans="1:7" x14ac:dyDescent="0.25">
      <c r="A7" s="462" t="s">
        <v>200</v>
      </c>
      <c r="B7" s="421">
        <f>'Modificacion Agua'!D6</f>
        <v>0</v>
      </c>
      <c r="C7" s="422">
        <f>'Modificacion Agua'!E6</f>
        <v>0</v>
      </c>
      <c r="D7" s="421">
        <f>'Modificacion Agua'!F6</f>
        <v>0</v>
      </c>
      <c r="E7" s="422">
        <f>'Modificacion Agua'!G6</f>
        <v>0</v>
      </c>
      <c r="F7" s="421">
        <f>'Modificacion Agua'!H6</f>
        <v>0</v>
      </c>
      <c r="G7" s="423">
        <f>'Modificacion Agua'!I6</f>
        <v>0</v>
      </c>
    </row>
    <row r="8" spans="1:7" ht="24.75" x14ac:dyDescent="0.25">
      <c r="A8" s="464" t="s">
        <v>432</v>
      </c>
      <c r="B8" s="424">
        <f>'Modificacion Agua'!D12</f>
        <v>0</v>
      </c>
      <c r="C8" s="425">
        <f>'Modificacion Agua'!E12</f>
        <v>0</v>
      </c>
      <c r="D8" s="424">
        <f>'Modificacion Agua'!F12</f>
        <v>0</v>
      </c>
      <c r="E8" s="425">
        <f>'Modificacion Agua'!G12</f>
        <v>0</v>
      </c>
      <c r="F8" s="424">
        <f>'Modificacion Agua'!H12</f>
        <v>0</v>
      </c>
      <c r="G8" s="426">
        <f>'Modificacion Agua'!I12</f>
        <v>0</v>
      </c>
    </row>
    <row r="9" spans="1:7" ht="24.75" x14ac:dyDescent="0.25">
      <c r="A9" s="463" t="s">
        <v>269</v>
      </c>
      <c r="B9" s="427">
        <f>'Modificacion Agua'!D13</f>
        <v>0</v>
      </c>
      <c r="C9" s="428">
        <f>'Modificacion Agua'!E13</f>
        <v>0</v>
      </c>
      <c r="D9" s="427">
        <f>'Modificacion Agua'!F13</f>
        <v>0</v>
      </c>
      <c r="E9" s="428">
        <f>'Modificacion Agua'!G13</f>
        <v>0</v>
      </c>
      <c r="F9" s="427">
        <f>'Modificacion Agua'!H13</f>
        <v>0</v>
      </c>
      <c r="G9" s="429">
        <f>'Modificacion Agua'!I13</f>
        <v>0</v>
      </c>
    </row>
    <row r="13" spans="1:7" x14ac:dyDescent="0.25">
      <c r="A13" s="438" t="s">
        <v>64</v>
      </c>
      <c r="B13" s="439"/>
      <c r="C13" s="439"/>
      <c r="D13" s="439"/>
      <c r="E13" s="440"/>
      <c r="F13" s="14"/>
    </row>
    <row r="14" spans="1:7" x14ac:dyDescent="0.25">
      <c r="A14" s="441" t="s">
        <v>128</v>
      </c>
      <c r="B14" s="23">
        <f>Receta!C46</f>
        <v>0</v>
      </c>
      <c r="C14" s="23"/>
      <c r="D14" s="436" t="s">
        <v>153</v>
      </c>
      <c r="E14" s="437">
        <f>'Modificacion Agua'!J12</f>
        <v>0</v>
      </c>
      <c r="F14" s="442"/>
    </row>
    <row r="15" spans="1:7" x14ac:dyDescent="0.25">
      <c r="A15" s="465" t="s">
        <v>433</v>
      </c>
      <c r="B15" s="443">
        <f>Receta!C7</f>
        <v>0</v>
      </c>
      <c r="C15" s="443"/>
      <c r="D15" s="432" t="s">
        <v>266</v>
      </c>
      <c r="E15" s="435">
        <f>'Modificacion Agua'!K12</f>
        <v>0</v>
      </c>
      <c r="F15" s="442"/>
    </row>
    <row r="16" spans="1:7" x14ac:dyDescent="0.25">
      <c r="A16" s="436" t="s">
        <v>544</v>
      </c>
      <c r="B16" s="484">
        <f>Receta!C40</f>
        <v>5.75</v>
      </c>
      <c r="C16" s="23"/>
      <c r="D16" s="436" t="s">
        <v>462</v>
      </c>
      <c r="E16" s="437">
        <f>'Modificacion Agua'!L12</f>
        <v>0</v>
      </c>
      <c r="F16" s="442"/>
    </row>
    <row r="17" spans="1:6" x14ac:dyDescent="0.25">
      <c r="A17" s="485" t="s">
        <v>545</v>
      </c>
      <c r="B17" s="486">
        <f>Receta!C41</f>
        <v>0</v>
      </c>
      <c r="C17" s="486"/>
      <c r="D17" s="487"/>
      <c r="E17" s="488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438"/>
      <c r="B19" s="439"/>
      <c r="C19" s="439" t="s">
        <v>64</v>
      </c>
      <c r="D19" s="444" t="s">
        <v>450</v>
      </c>
      <c r="E19" s="439"/>
      <c r="F19" s="440"/>
    </row>
    <row r="20" spans="1:6" x14ac:dyDescent="0.25">
      <c r="A20" s="445"/>
      <c r="B20" s="446" t="s">
        <v>447</v>
      </c>
      <c r="C20" s="447">
        <f>'Modificacion Agua'!B16</f>
        <v>0</v>
      </c>
      <c r="D20" s="447">
        <f>'Modificacion Agua'!K16</f>
        <v>0</v>
      </c>
      <c r="E20" s="448" t="s">
        <v>449</v>
      </c>
      <c r="F20" s="449"/>
    </row>
    <row r="21" spans="1:6" x14ac:dyDescent="0.25">
      <c r="A21" s="450"/>
      <c r="B21" s="451" t="str">
        <f>IF('Modificacion Agua'!C7="S/diluir","Sin Diluir",IF('Modificacion Agua'!C7="Agua destilada"," Volumen de Agua Destilada p/diluir [l]:",IF('Modificacion Agua'!C7="Agua de ósmosis","Volumen de Agua de ósmosis p/diluir [l]:","")))</f>
        <v>Sin Diluir</v>
      </c>
      <c r="C21" s="433">
        <f>IF(B21="Sin Diluir",0,C20*'Modificacion Agua'!C8)</f>
        <v>0</v>
      </c>
      <c r="D21" s="433">
        <f>IF(E21="Sin Diluir",0,D20*('Agua de Lavado'!D8/100))</f>
        <v>0</v>
      </c>
      <c r="E21" s="452" t="str">
        <f>IF('Agua de Lavado'!D7="S/diluir","Sin Diluir",IF('Agua de Lavado'!D7="Agua destilada"," Volumen de Agua Destilada p/diluir [l]:",IF('Agua de Lavado'!D7="Agua de ósmosis","Volumen de Agua de ósmosis p/diluir [l]:","")))</f>
        <v>Sin Diluir</v>
      </c>
      <c r="F21" s="453"/>
    </row>
    <row r="22" spans="1:6" x14ac:dyDescent="0.25">
      <c r="A22" s="454" t="s">
        <v>452</v>
      </c>
      <c r="B22" s="455"/>
      <c r="C22" s="456" t="s">
        <v>204</v>
      </c>
      <c r="D22" s="456" t="s">
        <v>204</v>
      </c>
      <c r="E22" s="457"/>
      <c r="F22" s="455"/>
    </row>
    <row r="23" spans="1:6" x14ac:dyDescent="0.25">
      <c r="A23" s="458" t="s">
        <v>439</v>
      </c>
      <c r="B23" s="430" t="s">
        <v>507</v>
      </c>
      <c r="C23" s="431">
        <f>'Modificacion Agua'!C17</f>
        <v>0</v>
      </c>
      <c r="D23" s="430">
        <f>'Modificacion Agua'!K17</f>
        <v>0</v>
      </c>
      <c r="E23" s="431"/>
      <c r="F23" s="430"/>
    </row>
    <row r="24" spans="1:6" x14ac:dyDescent="0.25">
      <c r="A24" s="459" t="s">
        <v>440</v>
      </c>
      <c r="B24" s="433" t="s">
        <v>508</v>
      </c>
      <c r="C24" s="434">
        <f>'Modificacion Agua'!C18</f>
        <v>0</v>
      </c>
      <c r="D24" s="433">
        <f>'Modificacion Agua'!K18</f>
        <v>0</v>
      </c>
      <c r="E24" s="434"/>
      <c r="F24" s="433"/>
    </row>
    <row r="25" spans="1:6" x14ac:dyDescent="0.25">
      <c r="A25" s="458" t="s">
        <v>441</v>
      </c>
      <c r="B25" s="430" t="s">
        <v>509</v>
      </c>
      <c r="C25" s="431">
        <f>'Modificacion Agua'!C19</f>
        <v>0</v>
      </c>
      <c r="D25" s="430">
        <f>'Modificacion Agua'!K19</f>
        <v>0</v>
      </c>
      <c r="E25" s="431"/>
      <c r="F25" s="430"/>
    </row>
    <row r="26" spans="1:6" x14ac:dyDescent="0.25">
      <c r="A26" s="459" t="s">
        <v>442</v>
      </c>
      <c r="B26" s="433" t="s">
        <v>225</v>
      </c>
      <c r="C26" s="434">
        <f>'Modificacion Agua'!C20</f>
        <v>0</v>
      </c>
      <c r="D26" s="433">
        <f>'Modificacion Agua'!K20</f>
        <v>0</v>
      </c>
      <c r="E26" s="434"/>
      <c r="F26" s="433"/>
    </row>
    <row r="27" spans="1:6" x14ac:dyDescent="0.25">
      <c r="A27" s="458" t="s">
        <v>443</v>
      </c>
      <c r="B27" s="430" t="s">
        <v>510</v>
      </c>
      <c r="C27" s="431">
        <f>'Modificacion Agua'!C21</f>
        <v>0</v>
      </c>
      <c r="D27" s="430">
        <f>'Modificacion Agua'!K21</f>
        <v>0</v>
      </c>
      <c r="E27" s="431"/>
      <c r="F27" s="430"/>
    </row>
    <row r="28" spans="1:6" x14ac:dyDescent="0.25">
      <c r="A28" s="459" t="s">
        <v>444</v>
      </c>
      <c r="B28" s="433" t="s">
        <v>511</v>
      </c>
      <c r="C28" s="434">
        <f>'Modificacion Agua'!C22</f>
        <v>0</v>
      </c>
      <c r="D28" s="433">
        <f>'Modificacion Agua'!K22</f>
        <v>0</v>
      </c>
      <c r="E28" s="434"/>
      <c r="F28" s="433"/>
    </row>
    <row r="29" spans="1:6" x14ac:dyDescent="0.25">
      <c r="A29" s="458" t="s">
        <v>445</v>
      </c>
      <c r="B29" s="430" t="s">
        <v>512</v>
      </c>
      <c r="C29" s="431">
        <f>'Modificacion Agua'!C23</f>
        <v>0</v>
      </c>
      <c r="D29" s="430">
        <f>'Modificacion Agua'!K23</f>
        <v>0</v>
      </c>
      <c r="E29" s="431"/>
      <c r="F29" s="430"/>
    </row>
    <row r="30" spans="1:6" x14ac:dyDescent="0.25">
      <c r="A30" s="459" t="s">
        <v>446</v>
      </c>
      <c r="B30" s="433" t="s">
        <v>513</v>
      </c>
      <c r="C30" s="434">
        <f>'Modificacion Agua'!C24</f>
        <v>0</v>
      </c>
      <c r="D30" s="433">
        <f>'Modificacion Agua'!K24</f>
        <v>0</v>
      </c>
      <c r="E30" s="434"/>
      <c r="F30" s="433"/>
    </row>
    <row r="31" spans="1:6" x14ac:dyDescent="0.25">
      <c r="A31" s="454" t="s">
        <v>448</v>
      </c>
      <c r="B31" s="454"/>
      <c r="C31" s="454"/>
      <c r="D31" s="454"/>
      <c r="E31" s="454"/>
      <c r="F31" s="454"/>
    </row>
    <row r="32" spans="1:6" x14ac:dyDescent="0.25">
      <c r="A32" s="459" t="str">
        <f>'Modificacion Agua'!B28</f>
        <v>Cítrico</v>
      </c>
      <c r="B32" s="433" t="str">
        <f>CONCATENATE('Modificacion Agua'!F28," ",'Modificacion Agua'!G28)</f>
        <v>0 Sólido</v>
      </c>
      <c r="C32" s="434" t="str">
        <f>CONCATENATE(ROUND('Modificacion Agua'!C28,2)," ",'Modificacion Agua'!D28)</f>
        <v>0 gr</v>
      </c>
      <c r="D32" s="433" t="str">
        <f>IF('Agua de Lavado'!D12&gt;1,CONCATENATE(ROUND('Agua de Lavado'!E29,2)," ",'Agua de Lavado'!F29),CONCATENATE(ROUND('Modificacion Agua'!C37,2)," ",'Agua de Lavado'!F29))</f>
        <v>0 gr</v>
      </c>
      <c r="E32" s="434" t="str">
        <f>'Agua de Lavado'!C29</f>
        <v>Cítrico</v>
      </c>
      <c r="F32" s="433" t="str">
        <f>CONCATENATE('Agua de Lavado'!D16," ",'Agua de Lavado'!E16)</f>
        <v>0 Solido</v>
      </c>
    </row>
    <row r="33" spans="1:6" x14ac:dyDescent="0.25">
      <c r="A33" s="458" t="str">
        <f>'Modificacion Agua'!B30</f>
        <v>Láctico</v>
      </c>
      <c r="B33" s="430" t="str">
        <f>CONCATENATE('Modificacion Agua'!F30," ",'Modificacion Agua'!G30)</f>
        <v>95 %</v>
      </c>
      <c r="C33" s="431" t="str">
        <f>CONCATENATE('Modificacion Agua'!C30," ",'Modificacion Agua'!D30)</f>
        <v>0 ml</v>
      </c>
      <c r="D33" s="430" t="str">
        <f>CONCATENATE(ROUND('Agua de Lavado'!E31,2)," ",'Agua de Lavado'!F31)</f>
        <v>0 gr</v>
      </c>
      <c r="E33" s="431" t="str">
        <f>'Agua de Lavado'!C31</f>
        <v>Cítrico</v>
      </c>
      <c r="F33" s="430" t="str">
        <f>CONCATENATE('Agua de Lavado'!D19," ",'Agua de Lavado'!E19)</f>
        <v>95 %</v>
      </c>
    </row>
    <row r="34" spans="1:6" x14ac:dyDescent="0.25">
      <c r="A34" s="459" t="str">
        <f>'Modificacion Agua'!B32</f>
        <v>Fosfórico</v>
      </c>
      <c r="B34" s="433" t="str">
        <f>CONCATENATE('Modificacion Agua'!F32," ",'Modificacion Agua'!G32)</f>
        <v>1 N</v>
      </c>
      <c r="C34" s="434" t="str">
        <f>CONCATENATE('Modificacion Agua'!C32," ",'Modificacion Agua'!D32)</f>
        <v>0 ml</v>
      </c>
      <c r="D34" s="433" t="str">
        <f>CONCATENATE(ROUND('Agua de Lavado'!E33,2)," ",'Agua de Lavado'!F33)</f>
        <v>0 gr</v>
      </c>
      <c r="E34" s="434" t="str">
        <f>'Agua de Lavado'!C33</f>
        <v>Cítrico</v>
      </c>
      <c r="F34" s="433" t="str">
        <f>CONCATENATE('Agua de Lavado'!D22," ",'Agua de Lavado'!E22)</f>
        <v>95 Solido</v>
      </c>
    </row>
    <row r="35" spans="1:6" x14ac:dyDescent="0.25">
      <c r="A35" s="466" t="str">
        <f>'Modificacion Agua'!B34</f>
        <v>Clorhídrico</v>
      </c>
      <c r="B35" s="467" t="str">
        <f>CONCATENATE('Modificacion Agua'!F34," ",'Modificacion Agua'!G34)</f>
        <v>1 Sólido</v>
      </c>
      <c r="C35" s="468" t="str">
        <f>CONCATENATE('Modificacion Agua'!C34," ",'Modificacion Agua'!D34)</f>
        <v>0 ml</v>
      </c>
      <c r="D35" s="467" t="str">
        <f>CONCATENATE(ROUND('Agua de Lavado'!E35,2)," ",'Agua de Lavado'!F35)</f>
        <v>0 ml</v>
      </c>
      <c r="E35" s="468" t="str">
        <f>'Agua de Lavado'!C35</f>
        <v>Láctico</v>
      </c>
      <c r="F35" s="467" t="str">
        <f>CONCATENATE('Agua de Lavado'!D25," ",'Agua de Lavado'!E25)</f>
        <v>1 N</v>
      </c>
    </row>
  </sheetData>
  <sheetProtection algorithmName="SHA-512" hashValue="mYq6IVd4oNnGRdvSp8pNkto81jnILewpSwsllYUuuatTWW33H/igLA3ZSt0jkRo0Xz3ad2dAAAOtS0bsYqUDMw==" saltValue="WNMx7ae5FM8TCRX2KwJECA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/>
  <dimension ref="A16:O52"/>
  <sheetViews>
    <sheetView showRuler="0" view="pageLayout" topLeftCell="B1" zoomScale="90" zoomScaleNormal="70" zoomScaleSheetLayoutView="90" zoomScalePageLayoutView="90" workbookViewId="0">
      <selection activeCell="I21" sqref="I21"/>
    </sheetView>
  </sheetViews>
  <sheetFormatPr baseColWidth="10" defaultRowHeight="15" x14ac:dyDescent="0.25"/>
  <cols>
    <col min="3" max="3" width="14.85546875" customWidth="1"/>
    <col min="7" max="7" width="16.42578125" bestFit="1" customWidth="1"/>
    <col min="8" max="8" width="13.5703125" customWidth="1"/>
    <col min="10" max="10" width="15.7109375" customWidth="1"/>
  </cols>
  <sheetData>
    <row r="16" spans="9:9" x14ac:dyDescent="0.25">
      <c r="I16" t="s">
        <v>200</v>
      </c>
    </row>
    <row r="17" spans="1:15" x14ac:dyDescent="0.25">
      <c r="I17" t="s">
        <v>482</v>
      </c>
    </row>
    <row r="19" spans="1:15" x14ac:dyDescent="0.25">
      <c r="G19" s="409"/>
      <c r="H19" s="409"/>
      <c r="I19" s="409"/>
      <c r="J19" s="410"/>
      <c r="K19" s="410"/>
      <c r="L19" s="410"/>
      <c r="M19" s="410"/>
      <c r="N19" s="410"/>
      <c r="O19" s="409"/>
    </row>
    <row r="20" spans="1:15" x14ac:dyDescent="0.25">
      <c r="G20" s="409"/>
      <c r="H20" s="408"/>
      <c r="I20" s="410"/>
      <c r="J20" s="410"/>
      <c r="K20" s="410"/>
      <c r="L20" s="410"/>
      <c r="M20" s="411"/>
      <c r="N20" s="410"/>
      <c r="O20" s="409"/>
    </row>
    <row r="21" spans="1:15" x14ac:dyDescent="0.25">
      <c r="G21" s="409"/>
      <c r="H21" s="409"/>
      <c r="I21" s="409"/>
      <c r="J21" s="409"/>
      <c r="K21" s="409"/>
      <c r="L21" s="409"/>
      <c r="M21" s="409"/>
      <c r="N21" s="409"/>
      <c r="O21" s="409"/>
    </row>
    <row r="28" spans="1:15" x14ac:dyDescent="0.25">
      <c r="E28" s="407"/>
    </row>
    <row r="30" spans="1:15" ht="30" x14ac:dyDescent="0.25">
      <c r="A30" s="310" t="s">
        <v>466</v>
      </c>
      <c r="B30" s="310"/>
      <c r="C30" s="310"/>
      <c r="D30" s="310"/>
      <c r="E30" s="310"/>
      <c r="F30" s="310"/>
      <c r="G30" s="412" t="s">
        <v>186</v>
      </c>
      <c r="H30" s="412" t="s">
        <v>463</v>
      </c>
      <c r="I30" s="412" t="s">
        <v>464</v>
      </c>
      <c r="J30" s="412" t="s">
        <v>467</v>
      </c>
      <c r="K30" s="412" t="s">
        <v>465</v>
      </c>
      <c r="L30" s="412" t="s">
        <v>161</v>
      </c>
      <c r="M30" s="412" t="s">
        <v>468</v>
      </c>
      <c r="N30" s="59"/>
    </row>
    <row r="31" spans="1:15" x14ac:dyDescent="0.25">
      <c r="A31" s="310" t="s">
        <v>469</v>
      </c>
      <c r="B31" s="310"/>
      <c r="C31" s="310">
        <v>0</v>
      </c>
      <c r="D31" s="310"/>
      <c r="E31" s="310">
        <v>150</v>
      </c>
      <c r="F31" s="310"/>
      <c r="G31" s="310" t="s">
        <v>172</v>
      </c>
      <c r="H31" s="413">
        <v>275</v>
      </c>
      <c r="I31" s="413">
        <v>40</v>
      </c>
      <c r="J31" s="414">
        <v>852.10905349794234</v>
      </c>
      <c r="K31" s="414">
        <f>(H31/20+I31/24.3)*50</f>
        <v>769.80452674897117</v>
      </c>
      <c r="L31" s="414">
        <v>223.38177849422203</v>
      </c>
      <c r="M31" s="414">
        <v>3.4332784942220371</v>
      </c>
    </row>
    <row r="32" spans="1:15" x14ac:dyDescent="0.25">
      <c r="A32" s="310"/>
      <c r="B32" s="310"/>
      <c r="C32" s="310">
        <v>455</v>
      </c>
      <c r="D32" s="310"/>
      <c r="E32" s="310">
        <v>280</v>
      </c>
      <c r="F32" s="310"/>
      <c r="G32" s="310" t="s">
        <v>173</v>
      </c>
      <c r="H32" s="413">
        <v>230</v>
      </c>
      <c r="I32" s="413">
        <v>15</v>
      </c>
      <c r="J32" s="414">
        <v>636.72839506172841</v>
      </c>
      <c r="K32" s="414">
        <f t="shared" ref="K32:K41" si="0">(H32/20+I32/24.3)*50</f>
        <v>605.8641975308642</v>
      </c>
      <c r="L32" s="414">
        <v>194.42488128200804</v>
      </c>
      <c r="M32" s="414">
        <v>21.317381282008029</v>
      </c>
    </row>
    <row r="33" spans="1:13" x14ac:dyDescent="0.25">
      <c r="A33" s="310" t="s">
        <v>470</v>
      </c>
      <c r="B33" s="310"/>
      <c r="C33" s="310">
        <v>0</v>
      </c>
      <c r="D33" s="310"/>
      <c r="E33" s="310">
        <v>125</v>
      </c>
      <c r="F33" s="310"/>
      <c r="G33" s="310" t="s">
        <v>174</v>
      </c>
      <c r="H33" s="413">
        <v>120</v>
      </c>
      <c r="I33" s="413">
        <v>4</v>
      </c>
      <c r="J33" s="414">
        <v>316.46090534979425</v>
      </c>
      <c r="K33" s="414">
        <f t="shared" si="0"/>
        <v>308.23045267489715</v>
      </c>
      <c r="L33" s="414">
        <v>260.6120749099257</v>
      </c>
      <c r="M33" s="414">
        <v>172.54447490992567</v>
      </c>
    </row>
    <row r="34" spans="1:13" x14ac:dyDescent="0.25">
      <c r="A34" s="310"/>
      <c r="B34" s="310"/>
      <c r="C34" s="310">
        <v>541</v>
      </c>
      <c r="D34" s="310"/>
      <c r="E34" s="310">
        <v>280</v>
      </c>
      <c r="F34" s="310"/>
      <c r="G34" s="310" t="s">
        <v>175</v>
      </c>
      <c r="H34" s="413">
        <v>100</v>
      </c>
      <c r="I34" s="413">
        <v>20</v>
      </c>
      <c r="J34" s="414">
        <v>332.30452674897117</v>
      </c>
      <c r="K34" s="414">
        <f t="shared" si="0"/>
        <v>291.15226337448559</v>
      </c>
      <c r="L34" s="414">
        <v>235.79187729945659</v>
      </c>
      <c r="M34" s="414">
        <v>152.6038772994566</v>
      </c>
    </row>
    <row r="35" spans="1:13" x14ac:dyDescent="0.25">
      <c r="A35" s="310" t="s">
        <v>471</v>
      </c>
      <c r="B35" s="310"/>
      <c r="C35" s="310">
        <v>0</v>
      </c>
      <c r="D35" s="310"/>
      <c r="E35" s="310">
        <v>100</v>
      </c>
      <c r="F35" s="310"/>
      <c r="G35" s="310" t="s">
        <v>472</v>
      </c>
      <c r="H35" s="413">
        <v>70</v>
      </c>
      <c r="I35" s="413">
        <v>6</v>
      </c>
      <c r="J35" s="414">
        <v>199.69135802469137</v>
      </c>
      <c r="K35" s="414">
        <f t="shared" si="0"/>
        <v>187.3456790123457</v>
      </c>
      <c r="L35" s="414">
        <v>137.33842677792907</v>
      </c>
      <c r="M35" s="414">
        <v>83.810026777929068</v>
      </c>
    </row>
    <row r="36" spans="1:13" x14ac:dyDescent="0.25">
      <c r="A36" s="310"/>
      <c r="B36" s="310"/>
      <c r="C36" s="310">
        <v>631</v>
      </c>
      <c r="D36" s="310"/>
      <c r="E36" s="310">
        <v>280</v>
      </c>
      <c r="F36" s="310"/>
      <c r="G36" s="310" t="s">
        <v>177</v>
      </c>
      <c r="H36" s="413">
        <v>77</v>
      </c>
      <c r="I36" s="413">
        <v>17</v>
      </c>
      <c r="J36" s="414">
        <v>262.4588477366255</v>
      </c>
      <c r="K36" s="414">
        <f t="shared" si="0"/>
        <v>227.47942386831275</v>
      </c>
      <c r="L36" s="414">
        <v>244.06527650294626</v>
      </c>
      <c r="M36" s="414">
        <v>179.06987650294627</v>
      </c>
    </row>
    <row r="37" spans="1:13" x14ac:dyDescent="0.25">
      <c r="A37" s="310" t="s">
        <v>473</v>
      </c>
      <c r="B37" s="310"/>
      <c r="C37" s="310">
        <v>0</v>
      </c>
      <c r="D37" s="310"/>
      <c r="E37" s="310">
        <v>75</v>
      </c>
      <c r="F37" s="310"/>
      <c r="G37" s="310" t="s">
        <v>30</v>
      </c>
      <c r="H37" s="413">
        <v>7</v>
      </c>
      <c r="I37" s="413">
        <v>2</v>
      </c>
      <c r="J37" s="414">
        <v>25.730452674897119</v>
      </c>
      <c r="K37" s="414">
        <f t="shared" si="0"/>
        <v>21.615226337448558</v>
      </c>
      <c r="L37" s="414">
        <v>13.237438725583527</v>
      </c>
      <c r="M37" s="414">
        <v>7.0615387255835262</v>
      </c>
    </row>
    <row r="38" spans="1:13" x14ac:dyDescent="0.25">
      <c r="A38" s="310"/>
      <c r="B38" s="310"/>
      <c r="C38" s="310">
        <v>716</v>
      </c>
      <c r="D38" s="310"/>
      <c r="E38" s="310">
        <v>280</v>
      </c>
      <c r="F38" s="310"/>
      <c r="G38" s="310" t="s">
        <v>178</v>
      </c>
      <c r="H38" s="413">
        <v>75</v>
      </c>
      <c r="I38" s="413">
        <v>15</v>
      </c>
      <c r="J38" s="414">
        <v>249.22839506172841</v>
      </c>
      <c r="K38" s="414">
        <f t="shared" si="0"/>
        <v>218.3641975308642</v>
      </c>
      <c r="L38" s="414">
        <v>186.15148207851834</v>
      </c>
      <c r="M38" s="414">
        <v>123.76048207851834</v>
      </c>
    </row>
    <row r="39" spans="1:13" x14ac:dyDescent="0.25">
      <c r="A39" s="310" t="s">
        <v>474</v>
      </c>
      <c r="B39" s="310"/>
      <c r="C39" s="310">
        <v>0</v>
      </c>
      <c r="D39" s="310"/>
      <c r="E39" s="310">
        <v>50</v>
      </c>
      <c r="F39" s="310"/>
      <c r="G39" s="310" t="s">
        <v>179</v>
      </c>
      <c r="H39" s="413">
        <v>40</v>
      </c>
      <c r="I39" s="413">
        <v>15</v>
      </c>
      <c r="J39" s="414">
        <v>161.72839506172841</v>
      </c>
      <c r="K39" s="414">
        <f t="shared" si="0"/>
        <v>130.8641975308642</v>
      </c>
      <c r="L39" s="414">
        <v>67.014533548266598</v>
      </c>
      <c r="M39" s="414">
        <v>29.624033548266596</v>
      </c>
    </row>
    <row r="40" spans="1:13" x14ac:dyDescent="0.25">
      <c r="A40" s="310"/>
      <c r="B40" s="310"/>
      <c r="C40" s="310">
        <v>800</v>
      </c>
      <c r="D40" s="310"/>
      <c r="E40" s="310">
        <v>280</v>
      </c>
      <c r="F40" s="310"/>
      <c r="G40" s="310" t="s">
        <v>481</v>
      </c>
      <c r="H40" s="413">
        <f>+'Modificacion Agua'!D6</f>
        <v>0</v>
      </c>
      <c r="I40" s="413">
        <f>+'Modificacion Agua'!E6</f>
        <v>0</v>
      </c>
      <c r="J40" s="413">
        <f>+'Modificacion Agua'!J6</f>
        <v>0</v>
      </c>
      <c r="K40" s="414">
        <f t="shared" si="0"/>
        <v>0</v>
      </c>
      <c r="L40" s="413">
        <f>+'Modificacion Agua'!K6</f>
        <v>0</v>
      </c>
      <c r="M40" s="413">
        <f>+'Modificacion Agua'!L6</f>
        <v>0</v>
      </c>
    </row>
    <row r="41" spans="1:13" x14ac:dyDescent="0.25">
      <c r="A41" s="310" t="s">
        <v>475</v>
      </c>
      <c r="B41" s="310"/>
      <c r="C41" s="310">
        <v>0</v>
      </c>
      <c r="D41" s="310"/>
      <c r="E41" s="310">
        <v>25</v>
      </c>
      <c r="F41" s="310"/>
      <c r="G41" s="310" t="s">
        <v>482</v>
      </c>
      <c r="H41" s="309">
        <f>+'Modificacion Agua'!D13</f>
        <v>0</v>
      </c>
      <c r="I41" s="309">
        <f>+'Modificacion Agua'!E13</f>
        <v>0</v>
      </c>
      <c r="J41" s="309">
        <f>+'Modificacion Agua'!J13</f>
        <v>0</v>
      </c>
      <c r="K41" s="414">
        <f t="shared" si="0"/>
        <v>0</v>
      </c>
      <c r="L41" s="309">
        <f>+'Modificacion Agua'!K13</f>
        <v>0</v>
      </c>
      <c r="M41" s="309">
        <f>+'Modificacion Agua'!L13</f>
        <v>0</v>
      </c>
    </row>
    <row r="42" spans="1:13" x14ac:dyDescent="0.25">
      <c r="A42" s="310"/>
      <c r="B42" s="310"/>
      <c r="C42" s="310">
        <v>800</v>
      </c>
      <c r="D42" s="310"/>
      <c r="E42" s="310">
        <v>252</v>
      </c>
      <c r="F42" s="310"/>
      <c r="G42" s="310"/>
      <c r="H42" s="310"/>
      <c r="I42" s="310"/>
      <c r="J42" s="310"/>
      <c r="K42" s="310"/>
      <c r="L42" s="310"/>
      <c r="M42" s="310"/>
    </row>
    <row r="43" spans="1:13" x14ac:dyDescent="0.25">
      <c r="A43" s="310" t="s">
        <v>476</v>
      </c>
      <c r="B43" s="310"/>
      <c r="C43" s="310">
        <v>0</v>
      </c>
      <c r="D43" s="310"/>
      <c r="E43" s="310">
        <v>0</v>
      </c>
      <c r="F43" s="310"/>
      <c r="G43" s="310"/>
      <c r="H43" s="310"/>
      <c r="I43" s="310"/>
      <c r="J43" s="310"/>
      <c r="K43" s="310"/>
      <c r="L43" s="310"/>
      <c r="M43" s="309"/>
    </row>
    <row r="44" spans="1:13" x14ac:dyDescent="0.25">
      <c r="A44" s="310"/>
      <c r="B44" s="310"/>
      <c r="C44" s="310">
        <v>800</v>
      </c>
      <c r="D44" s="310"/>
      <c r="E44" s="310">
        <v>227</v>
      </c>
      <c r="F44" s="310"/>
      <c r="G44" s="310"/>
      <c r="H44" s="310"/>
      <c r="I44" s="310"/>
      <c r="J44" s="310"/>
      <c r="K44" s="310"/>
      <c r="L44" s="310"/>
      <c r="M44" s="309"/>
    </row>
    <row r="45" spans="1:13" x14ac:dyDescent="0.25">
      <c r="A45" s="310" t="s">
        <v>477</v>
      </c>
      <c r="B45" s="310"/>
      <c r="C45" s="310">
        <v>88</v>
      </c>
      <c r="D45" s="310"/>
      <c r="E45" s="310">
        <v>0</v>
      </c>
      <c r="F45" s="310"/>
      <c r="G45" s="310"/>
      <c r="H45" s="310"/>
      <c r="I45" s="310"/>
      <c r="J45" s="310"/>
      <c r="K45" s="310"/>
      <c r="L45" s="310"/>
      <c r="M45" s="310"/>
    </row>
    <row r="46" spans="1:13" x14ac:dyDescent="0.25">
      <c r="A46" s="310"/>
      <c r="B46" s="310"/>
      <c r="C46" s="310">
        <v>800</v>
      </c>
      <c r="D46" s="310"/>
      <c r="E46" s="310">
        <v>204</v>
      </c>
      <c r="F46" s="310"/>
      <c r="G46" s="310"/>
      <c r="H46" s="310"/>
      <c r="I46" s="310"/>
      <c r="J46" s="310"/>
      <c r="K46" s="310"/>
      <c r="L46" s="310"/>
      <c r="M46" s="310"/>
    </row>
    <row r="47" spans="1:13" x14ac:dyDescent="0.25">
      <c r="A47" s="310" t="s">
        <v>478</v>
      </c>
      <c r="B47" s="310"/>
      <c r="C47" s="310">
        <v>175</v>
      </c>
      <c r="D47" s="310"/>
      <c r="E47" s="310">
        <v>0</v>
      </c>
      <c r="F47" s="310"/>
      <c r="G47" s="310"/>
      <c r="H47" s="310"/>
      <c r="I47" s="310"/>
      <c r="J47" s="310"/>
      <c r="K47" s="310"/>
      <c r="L47" s="310"/>
      <c r="M47" s="310"/>
    </row>
    <row r="48" spans="1:13" x14ac:dyDescent="0.25">
      <c r="A48" s="310"/>
      <c r="B48" s="310"/>
      <c r="C48" s="310">
        <v>800</v>
      </c>
      <c r="D48" s="310"/>
      <c r="E48" s="310">
        <v>179</v>
      </c>
      <c r="F48" s="310"/>
      <c r="G48" s="310"/>
      <c r="H48" s="310"/>
      <c r="I48" s="310"/>
      <c r="J48" s="310"/>
      <c r="K48" s="310"/>
      <c r="L48" s="310"/>
      <c r="M48" s="310"/>
    </row>
    <row r="49" spans="1:13" x14ac:dyDescent="0.25">
      <c r="A49" s="310" t="s">
        <v>479</v>
      </c>
      <c r="B49" s="310"/>
      <c r="C49" s="310">
        <v>263</v>
      </c>
      <c r="D49" s="310"/>
      <c r="E49" s="310">
        <v>0</v>
      </c>
      <c r="F49" s="310"/>
      <c r="G49" s="310"/>
      <c r="H49" s="310"/>
      <c r="I49" s="310"/>
      <c r="J49" s="310"/>
      <c r="K49" s="310"/>
      <c r="L49" s="310"/>
      <c r="M49" s="310"/>
    </row>
    <row r="50" spans="1:13" x14ac:dyDescent="0.25">
      <c r="A50" s="310"/>
      <c r="B50" s="310"/>
      <c r="C50" s="310">
        <v>800</v>
      </c>
      <c r="D50" s="310"/>
      <c r="E50" s="310">
        <v>153</v>
      </c>
      <c r="F50" s="310"/>
      <c r="G50" s="310"/>
      <c r="H50" s="310"/>
      <c r="I50" s="310"/>
      <c r="J50" s="310"/>
      <c r="K50" s="310"/>
      <c r="L50" s="310"/>
      <c r="M50" s="310"/>
    </row>
    <row r="51" spans="1:13" x14ac:dyDescent="0.25">
      <c r="A51" s="310" t="s">
        <v>480</v>
      </c>
      <c r="B51" s="310"/>
      <c r="C51" s="310">
        <v>350</v>
      </c>
      <c r="D51" s="310"/>
      <c r="E51" s="310">
        <v>0</v>
      </c>
      <c r="F51" s="310"/>
      <c r="G51" s="310"/>
      <c r="H51" s="310"/>
      <c r="I51" s="310"/>
      <c r="J51" s="310"/>
      <c r="K51" s="310"/>
      <c r="L51" s="310"/>
      <c r="M51" s="310"/>
    </row>
    <row r="52" spans="1:13" x14ac:dyDescent="0.25">
      <c r="A52" s="310"/>
      <c r="B52" s="310"/>
      <c r="C52" s="310">
        <v>800</v>
      </c>
      <c r="D52" s="310"/>
      <c r="E52" s="310">
        <v>128</v>
      </c>
      <c r="F52" s="310"/>
      <c r="G52" s="310"/>
      <c r="H52" s="310"/>
      <c r="I52" s="310"/>
      <c r="J52" s="310"/>
      <c r="K52" s="310"/>
      <c r="L52" s="310"/>
      <c r="M52" s="310"/>
    </row>
  </sheetData>
  <sheetProtection algorithmName="SHA-512" hashValue="Pm/GbDHLXYrMdRcKGG4XxVl4D9z3j6wAF4tGEL8tKd14QPgetWECtrYuHVQrkK9hhXRtAxSNd4/VUtSDOJJEDw==" saltValue="/+ftUMGosNRMzxbTbqF71g==" spinCount="100000" sheet="1" objects="1" scenarios="1"/>
  <pageMargins left="0.7" right="0.7" top="0.75" bottom="0.75" header="0.3" footer="0.3"/>
  <pageSetup paperSize="9" orientation="landscape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/>
  <dimension ref="A1:N52"/>
  <sheetViews>
    <sheetView zoomScale="80" zoomScaleNormal="80" workbookViewId="0">
      <pane ySplit="1" topLeftCell="A2" activePane="bottomLeft" state="frozen"/>
      <selection activeCell="C1" sqref="C1"/>
      <selection pane="bottomLeft" activeCell="E18" sqref="E18"/>
    </sheetView>
  </sheetViews>
  <sheetFormatPr baseColWidth="10" defaultRowHeight="15" x14ac:dyDescent="0.25"/>
  <cols>
    <col min="1" max="1" width="12" customWidth="1"/>
    <col min="2" max="2" width="29.5703125" bestFit="1" customWidth="1"/>
    <col min="3" max="3" width="14.42578125" customWidth="1"/>
    <col min="4" max="4" width="17.42578125" customWidth="1"/>
    <col min="5" max="5" width="14.140625" customWidth="1"/>
    <col min="6" max="6" width="15.42578125" customWidth="1"/>
    <col min="7" max="7" width="15.7109375" customWidth="1"/>
    <col min="8" max="8" width="19.7109375" customWidth="1"/>
    <col min="9" max="9" width="18.85546875" style="2" customWidth="1"/>
    <col min="10" max="10" width="18.42578125" style="2" customWidth="1"/>
    <col min="11" max="11" width="14.7109375" style="2" customWidth="1"/>
    <col min="12" max="12" width="13.85546875" style="2" customWidth="1"/>
    <col min="13" max="13" width="21.85546875" style="2" customWidth="1"/>
    <col min="14" max="14" width="13.42578125" style="2" customWidth="1"/>
  </cols>
  <sheetData>
    <row r="1" spans="1:14" ht="28.5" x14ac:dyDescent="0.25">
      <c r="A1" t="s">
        <v>351</v>
      </c>
      <c r="B1" s="59" t="s">
        <v>186</v>
      </c>
      <c r="C1" s="81" t="s">
        <v>234</v>
      </c>
      <c r="D1" s="81" t="s">
        <v>235</v>
      </c>
      <c r="E1" s="81" t="s">
        <v>236</v>
      </c>
      <c r="F1" s="81" t="s">
        <v>237</v>
      </c>
      <c r="G1" s="81" t="s">
        <v>238</v>
      </c>
      <c r="H1" s="81" t="s">
        <v>239</v>
      </c>
      <c r="I1" s="112" t="s">
        <v>187</v>
      </c>
      <c r="J1" s="112" t="s">
        <v>188</v>
      </c>
      <c r="K1" s="81" t="s">
        <v>240</v>
      </c>
      <c r="L1" s="81" t="s">
        <v>270</v>
      </c>
      <c r="M1" s="81" t="s">
        <v>241</v>
      </c>
      <c r="N1" s="81" t="s">
        <v>242</v>
      </c>
    </row>
    <row r="2" spans="1:14" x14ac:dyDescent="0.25">
      <c r="A2">
        <v>1</v>
      </c>
      <c r="B2" t="s">
        <v>172</v>
      </c>
      <c r="C2">
        <v>275</v>
      </c>
      <c r="D2">
        <v>40</v>
      </c>
      <c r="E2">
        <v>25</v>
      </c>
      <c r="F2">
        <v>610</v>
      </c>
      <c r="G2">
        <v>35</v>
      </c>
      <c r="H2">
        <v>270</v>
      </c>
      <c r="I2" s="2">
        <f t="shared" ref="I2:I21" si="0">(C2/20.05)+(D2/12.15)+(E2/23)</f>
        <v>18.094848314889997</v>
      </c>
      <c r="J2" s="2">
        <f t="shared" ref="J2:J21" si="1">(H2/61)+(F2/48)+(G2/35.45)</f>
        <v>18.121868906410167</v>
      </c>
      <c r="K2" s="2">
        <f t="shared" ref="K2:K21" si="2">((C2/20)+(D2/12.15))*50</f>
        <v>852.10905349794234</v>
      </c>
      <c r="L2" s="2">
        <f>H2*(50/61)*(1+(2*10^-2.33))</f>
        <v>223.38177849422203</v>
      </c>
      <c r="M2" s="2">
        <f t="shared" ref="M2:M21" si="3">(L2-((C2*0.7143)+(D2*0.5879)))</f>
        <v>3.4332784942220371</v>
      </c>
      <c r="N2" s="2">
        <f t="shared" ref="N2:N21" si="4">IF(G2&lt;=0,0,F2/G2)</f>
        <v>17.428571428571427</v>
      </c>
    </row>
    <row r="3" spans="1:14" x14ac:dyDescent="0.25">
      <c r="A3">
        <v>2</v>
      </c>
      <c r="B3" t="s">
        <v>233</v>
      </c>
      <c r="C3">
        <v>255</v>
      </c>
      <c r="D3">
        <v>40</v>
      </c>
      <c r="E3">
        <v>25</v>
      </c>
      <c r="F3">
        <v>610</v>
      </c>
      <c r="G3">
        <v>35</v>
      </c>
      <c r="H3">
        <v>210</v>
      </c>
      <c r="I3" s="2">
        <f t="shared" si="0"/>
        <v>17.097342080476032</v>
      </c>
      <c r="J3" s="2">
        <f t="shared" si="1"/>
        <v>17.138262349033116</v>
      </c>
      <c r="K3" s="2">
        <f t="shared" si="2"/>
        <v>802.10905349794234</v>
      </c>
      <c r="L3" s="2">
        <f t="shared" ref="L3" si="5">H3*(50/61)*(1+(2*10^-4))</f>
        <v>172.16557377049182</v>
      </c>
      <c r="M3" s="2">
        <f t="shared" si="3"/>
        <v>-33.496926229508176</v>
      </c>
      <c r="N3" s="2">
        <f t="shared" si="4"/>
        <v>17.428571428571427</v>
      </c>
    </row>
    <row r="4" spans="1:14" x14ac:dyDescent="0.25">
      <c r="A4">
        <v>3</v>
      </c>
      <c r="B4" t="s">
        <v>173</v>
      </c>
      <c r="C4">
        <v>230</v>
      </c>
      <c r="D4">
        <v>15</v>
      </c>
      <c r="E4">
        <v>40</v>
      </c>
      <c r="F4">
        <v>330</v>
      </c>
      <c r="G4">
        <v>130</v>
      </c>
      <c r="H4">
        <v>235</v>
      </c>
      <c r="I4" s="2">
        <f t="shared" si="0"/>
        <v>14.445020031777775</v>
      </c>
      <c r="J4" s="2">
        <f t="shared" si="1"/>
        <v>14.39459582880529</v>
      </c>
      <c r="K4" s="2">
        <f t="shared" si="2"/>
        <v>636.72839506172841</v>
      </c>
      <c r="L4" s="2">
        <f t="shared" ref="L4:L22" si="6">H4*(50/61)*(1+(2*10^-2.33))</f>
        <v>194.42488128200804</v>
      </c>
      <c r="M4" s="2">
        <f t="shared" si="3"/>
        <v>21.317381282008029</v>
      </c>
      <c r="N4" s="2">
        <f t="shared" si="4"/>
        <v>2.5384615384615383</v>
      </c>
    </row>
    <row r="5" spans="1:14" x14ac:dyDescent="0.25">
      <c r="A5">
        <v>4</v>
      </c>
      <c r="B5" t="s">
        <v>174</v>
      </c>
      <c r="C5">
        <v>120</v>
      </c>
      <c r="D5">
        <v>4</v>
      </c>
      <c r="E5">
        <v>12</v>
      </c>
      <c r="F5">
        <v>55</v>
      </c>
      <c r="G5">
        <v>19</v>
      </c>
      <c r="H5">
        <v>315</v>
      </c>
      <c r="I5" s="2">
        <f t="shared" si="0"/>
        <v>6.8359946439144572</v>
      </c>
      <c r="J5" s="2">
        <f t="shared" si="1"/>
        <v>6.845733909069188</v>
      </c>
      <c r="K5" s="2">
        <f t="shared" si="2"/>
        <v>316.46090534979425</v>
      </c>
      <c r="L5" s="2">
        <f t="shared" si="6"/>
        <v>260.6120749099257</v>
      </c>
      <c r="M5" s="2">
        <f t="shared" si="3"/>
        <v>172.54447490992567</v>
      </c>
      <c r="N5" s="2">
        <f t="shared" si="4"/>
        <v>2.8947368421052633</v>
      </c>
    </row>
    <row r="6" spans="1:14" x14ac:dyDescent="0.25">
      <c r="A6">
        <v>5</v>
      </c>
      <c r="B6" t="s">
        <v>189</v>
      </c>
      <c r="C6">
        <v>43</v>
      </c>
      <c r="D6">
        <v>4</v>
      </c>
      <c r="E6">
        <v>12</v>
      </c>
      <c r="F6">
        <v>55</v>
      </c>
      <c r="G6">
        <v>19</v>
      </c>
      <c r="H6">
        <v>80</v>
      </c>
      <c r="I6" s="2">
        <f t="shared" si="0"/>
        <v>2.9955956414206923</v>
      </c>
      <c r="J6" s="2">
        <f t="shared" si="1"/>
        <v>2.9932748926757458</v>
      </c>
      <c r="K6" s="2">
        <f t="shared" si="2"/>
        <v>123.96090534979423</v>
      </c>
      <c r="L6" s="2">
        <f t="shared" si="6"/>
        <v>66.187193627917637</v>
      </c>
      <c r="M6" s="2">
        <f t="shared" si="3"/>
        <v>33.120693627917632</v>
      </c>
      <c r="N6" s="2">
        <f t="shared" si="4"/>
        <v>2.8947368421052633</v>
      </c>
    </row>
    <row r="7" spans="1:14" x14ac:dyDescent="0.25">
      <c r="A7">
        <v>6</v>
      </c>
      <c r="B7" t="s">
        <v>175</v>
      </c>
      <c r="C7">
        <v>100</v>
      </c>
      <c r="D7">
        <v>20</v>
      </c>
      <c r="E7">
        <v>55</v>
      </c>
      <c r="F7">
        <v>140</v>
      </c>
      <c r="G7">
        <v>50</v>
      </c>
      <c r="H7">
        <v>285</v>
      </c>
      <c r="I7" s="2">
        <f t="shared" si="0"/>
        <v>9.0249260548753369</v>
      </c>
      <c r="J7" s="2">
        <f t="shared" si="1"/>
        <v>8.9992350497506681</v>
      </c>
      <c r="K7" s="2">
        <f t="shared" si="2"/>
        <v>332.30452674897117</v>
      </c>
      <c r="L7" s="2">
        <f t="shared" si="6"/>
        <v>235.79187729945659</v>
      </c>
      <c r="M7" s="2">
        <f t="shared" si="3"/>
        <v>152.6038772994566</v>
      </c>
      <c r="N7" s="2">
        <f t="shared" si="4"/>
        <v>2.8</v>
      </c>
    </row>
    <row r="8" spans="1:14" x14ac:dyDescent="0.25">
      <c r="A8">
        <v>7</v>
      </c>
      <c r="B8" t="s">
        <v>190</v>
      </c>
      <c r="C8">
        <v>33</v>
      </c>
      <c r="D8">
        <v>20</v>
      </c>
      <c r="E8">
        <v>55</v>
      </c>
      <c r="F8">
        <v>140</v>
      </c>
      <c r="G8">
        <v>50</v>
      </c>
      <c r="H8">
        <v>80</v>
      </c>
      <c r="I8" s="2">
        <f t="shared" si="0"/>
        <v>5.6832801695885529</v>
      </c>
      <c r="J8" s="2">
        <f t="shared" si="1"/>
        <v>5.6385793120457501</v>
      </c>
      <c r="K8" s="2">
        <f t="shared" si="2"/>
        <v>164.8045267489712</v>
      </c>
      <c r="L8" s="2">
        <f t="shared" si="6"/>
        <v>66.187193627917637</v>
      </c>
      <c r="M8" s="2">
        <f t="shared" si="3"/>
        <v>30.857293627917635</v>
      </c>
      <c r="N8" s="2">
        <f t="shared" si="4"/>
        <v>2.8</v>
      </c>
    </row>
    <row r="9" spans="1:14" x14ac:dyDescent="0.25">
      <c r="A9">
        <v>8</v>
      </c>
      <c r="B9" t="s">
        <v>176</v>
      </c>
      <c r="C9">
        <v>70</v>
      </c>
      <c r="D9">
        <v>6</v>
      </c>
      <c r="E9">
        <v>15</v>
      </c>
      <c r="F9">
        <v>40</v>
      </c>
      <c r="G9">
        <v>38</v>
      </c>
      <c r="H9">
        <v>166</v>
      </c>
      <c r="I9" s="2">
        <f t="shared" si="0"/>
        <v>4.6372728939861831</v>
      </c>
      <c r="J9" s="2">
        <f t="shared" si="1"/>
        <v>4.6265771077558631</v>
      </c>
      <c r="K9" s="2">
        <f t="shared" si="2"/>
        <v>199.69135802469137</v>
      </c>
      <c r="L9" s="2">
        <f t="shared" si="6"/>
        <v>137.33842677792907</v>
      </c>
      <c r="M9" s="2">
        <f t="shared" si="3"/>
        <v>83.810026777929068</v>
      </c>
      <c r="N9" s="2">
        <f t="shared" si="4"/>
        <v>1.0526315789473684</v>
      </c>
    </row>
    <row r="10" spans="1:14" x14ac:dyDescent="0.25">
      <c r="A10">
        <v>9</v>
      </c>
      <c r="B10" t="s">
        <v>191</v>
      </c>
      <c r="C10">
        <v>42</v>
      </c>
      <c r="D10">
        <v>6</v>
      </c>
      <c r="E10">
        <v>15</v>
      </c>
      <c r="F10">
        <v>40</v>
      </c>
      <c r="G10">
        <v>38</v>
      </c>
      <c r="H10">
        <v>80</v>
      </c>
      <c r="I10" s="2">
        <f t="shared" si="0"/>
        <v>3.240764165806632</v>
      </c>
      <c r="J10" s="2">
        <f t="shared" si="1"/>
        <v>3.2167410421820923</v>
      </c>
      <c r="K10" s="2">
        <f t="shared" si="2"/>
        <v>129.69135802469137</v>
      </c>
      <c r="L10" s="2">
        <f t="shared" si="6"/>
        <v>66.187193627917637</v>
      </c>
      <c r="M10" s="2">
        <f t="shared" si="3"/>
        <v>32.659193627917631</v>
      </c>
      <c r="N10" s="2">
        <f t="shared" si="4"/>
        <v>1.0526315789473684</v>
      </c>
    </row>
    <row r="11" spans="1:14" x14ac:dyDescent="0.25">
      <c r="A11">
        <v>10</v>
      </c>
      <c r="B11" t="s">
        <v>177</v>
      </c>
      <c r="C11">
        <v>77</v>
      </c>
      <c r="D11">
        <v>17</v>
      </c>
      <c r="E11">
        <v>4</v>
      </c>
      <c r="F11">
        <v>18</v>
      </c>
      <c r="G11">
        <v>8</v>
      </c>
      <c r="H11">
        <v>295</v>
      </c>
      <c r="I11" s="2">
        <f t="shared" si="0"/>
        <v>5.4134890007045362</v>
      </c>
      <c r="J11" s="2">
        <f t="shared" si="1"/>
        <v>5.4367355314573746</v>
      </c>
      <c r="K11" s="2">
        <f t="shared" si="2"/>
        <v>262.4588477366255</v>
      </c>
      <c r="L11" s="2">
        <f t="shared" si="6"/>
        <v>244.06527650294626</v>
      </c>
      <c r="M11" s="2">
        <f t="shared" si="3"/>
        <v>179.06987650294627</v>
      </c>
      <c r="N11" s="2">
        <f t="shared" si="4"/>
        <v>2.25</v>
      </c>
    </row>
    <row r="12" spans="1:14" x14ac:dyDescent="0.25">
      <c r="A12">
        <v>11</v>
      </c>
      <c r="B12" t="s">
        <v>192</v>
      </c>
      <c r="C12">
        <v>12</v>
      </c>
      <c r="D12">
        <v>17</v>
      </c>
      <c r="E12">
        <v>4</v>
      </c>
      <c r="F12">
        <v>18</v>
      </c>
      <c r="G12">
        <v>8</v>
      </c>
      <c r="H12">
        <v>95</v>
      </c>
      <c r="I12" s="2">
        <f t="shared" si="0"/>
        <v>2.17159373885915</v>
      </c>
      <c r="J12" s="2">
        <f t="shared" si="1"/>
        <v>2.1580470068672106</v>
      </c>
      <c r="K12" s="2">
        <f t="shared" si="2"/>
        <v>99.958847736625515</v>
      </c>
      <c r="L12" s="2">
        <f t="shared" si="6"/>
        <v>78.597292433152191</v>
      </c>
      <c r="M12" s="2">
        <f t="shared" si="3"/>
        <v>60.031392433152192</v>
      </c>
      <c r="N12" s="2">
        <f t="shared" si="4"/>
        <v>2.25</v>
      </c>
    </row>
    <row r="13" spans="1:14" x14ac:dyDescent="0.25">
      <c r="A13">
        <v>12</v>
      </c>
      <c r="B13" t="s">
        <v>30</v>
      </c>
      <c r="C13">
        <v>7</v>
      </c>
      <c r="D13">
        <v>2</v>
      </c>
      <c r="E13">
        <v>2</v>
      </c>
      <c r="F13">
        <v>8</v>
      </c>
      <c r="G13">
        <v>6</v>
      </c>
      <c r="H13">
        <v>16</v>
      </c>
      <c r="I13" s="2">
        <f t="shared" si="0"/>
        <v>0.60069275728196048</v>
      </c>
      <c r="J13" s="2">
        <f t="shared" si="1"/>
        <v>0.59821421689904197</v>
      </c>
      <c r="K13" s="2">
        <f t="shared" si="2"/>
        <v>25.730452674897119</v>
      </c>
      <c r="L13" s="2">
        <f t="shared" si="6"/>
        <v>13.237438725583527</v>
      </c>
      <c r="M13" s="2">
        <f t="shared" si="3"/>
        <v>7.0615387255835262</v>
      </c>
      <c r="N13" s="2">
        <f t="shared" si="4"/>
        <v>1.3333333333333333</v>
      </c>
    </row>
    <row r="14" spans="1:14" x14ac:dyDescent="0.25">
      <c r="A14">
        <v>13</v>
      </c>
      <c r="B14" t="s">
        <v>178</v>
      </c>
      <c r="C14">
        <v>75</v>
      </c>
      <c r="D14">
        <v>15</v>
      </c>
      <c r="E14">
        <v>10</v>
      </c>
      <c r="F14">
        <v>60</v>
      </c>
      <c r="G14">
        <v>15</v>
      </c>
      <c r="H14">
        <v>225</v>
      </c>
      <c r="I14" s="2">
        <f t="shared" si="0"/>
        <v>5.4099988889825887</v>
      </c>
      <c r="J14" s="2">
        <f t="shared" si="1"/>
        <v>5.3616557608268405</v>
      </c>
      <c r="K14" s="2">
        <f t="shared" si="2"/>
        <v>249.22839506172841</v>
      </c>
      <c r="L14" s="2">
        <f t="shared" si="6"/>
        <v>186.15148207851834</v>
      </c>
      <c r="M14" s="2">
        <f t="shared" si="3"/>
        <v>123.76048207851834</v>
      </c>
      <c r="N14" s="2">
        <f t="shared" si="4"/>
        <v>4</v>
      </c>
    </row>
    <row r="15" spans="1:14" x14ac:dyDescent="0.25">
      <c r="A15">
        <v>14</v>
      </c>
      <c r="B15" t="s">
        <v>193</v>
      </c>
      <c r="C15">
        <v>27</v>
      </c>
      <c r="D15">
        <v>15</v>
      </c>
      <c r="E15">
        <v>10</v>
      </c>
      <c r="F15">
        <v>60</v>
      </c>
      <c r="G15">
        <v>15</v>
      </c>
      <c r="H15">
        <v>80</v>
      </c>
      <c r="I15" s="2">
        <f t="shared" si="0"/>
        <v>3.0159839263890733</v>
      </c>
      <c r="J15" s="2">
        <f t="shared" si="1"/>
        <v>2.9846065804989705</v>
      </c>
      <c r="K15" s="2">
        <f t="shared" si="2"/>
        <v>129.22839506172838</v>
      </c>
      <c r="L15" s="2">
        <f t="shared" si="6"/>
        <v>66.187193627917637</v>
      </c>
      <c r="M15" s="2">
        <f t="shared" si="3"/>
        <v>38.082593627917632</v>
      </c>
      <c r="N15" s="2">
        <f t="shared" si="4"/>
        <v>4</v>
      </c>
    </row>
    <row r="16" spans="1:14" x14ac:dyDescent="0.25">
      <c r="A16">
        <v>15</v>
      </c>
      <c r="B16" t="s">
        <v>179</v>
      </c>
      <c r="C16">
        <v>40</v>
      </c>
      <c r="D16">
        <v>15</v>
      </c>
      <c r="E16">
        <v>25</v>
      </c>
      <c r="F16">
        <v>80</v>
      </c>
      <c r="G16">
        <v>45</v>
      </c>
      <c r="H16">
        <v>81</v>
      </c>
      <c r="I16" s="2">
        <f t="shared" si="0"/>
        <v>4.3165368918016283</v>
      </c>
      <c r="J16" s="2">
        <f t="shared" si="1"/>
        <v>4.2639290311143991</v>
      </c>
      <c r="K16" s="2">
        <f t="shared" si="2"/>
        <v>161.72839506172841</v>
      </c>
      <c r="L16" s="2">
        <f t="shared" si="6"/>
        <v>67.014533548266598</v>
      </c>
      <c r="M16" s="2">
        <f t="shared" si="3"/>
        <v>29.624033548266596</v>
      </c>
      <c r="N16" s="2">
        <f t="shared" si="4"/>
        <v>1.7777777777777777</v>
      </c>
    </row>
    <row r="17" spans="1:14" x14ac:dyDescent="0.25">
      <c r="A17">
        <v>16</v>
      </c>
      <c r="B17" t="s">
        <v>194</v>
      </c>
      <c r="C17">
        <v>39</v>
      </c>
      <c r="D17">
        <v>15</v>
      </c>
      <c r="E17">
        <v>25</v>
      </c>
      <c r="F17">
        <v>80</v>
      </c>
      <c r="G17">
        <v>45</v>
      </c>
      <c r="H17">
        <v>80</v>
      </c>
      <c r="I17" s="2">
        <f t="shared" si="0"/>
        <v>4.26666158008093</v>
      </c>
      <c r="J17" s="2">
        <f t="shared" si="1"/>
        <v>4.2475355884914485</v>
      </c>
      <c r="K17" s="2">
        <f t="shared" si="2"/>
        <v>159.22839506172838</v>
      </c>
      <c r="L17" s="2">
        <f t="shared" si="6"/>
        <v>66.187193627917637</v>
      </c>
      <c r="M17" s="2">
        <f t="shared" si="3"/>
        <v>29.510993627917635</v>
      </c>
      <c r="N17" s="2">
        <f t="shared" si="4"/>
        <v>1.7777777777777777</v>
      </c>
    </row>
    <row r="18" spans="1:14" x14ac:dyDescent="0.25">
      <c r="A18">
        <v>17</v>
      </c>
      <c r="B18" t="s">
        <v>180</v>
      </c>
      <c r="C18">
        <v>100</v>
      </c>
      <c r="D18">
        <v>11</v>
      </c>
      <c r="E18">
        <v>18</v>
      </c>
      <c r="F18">
        <v>70</v>
      </c>
      <c r="G18">
        <v>41</v>
      </c>
      <c r="H18">
        <v>250</v>
      </c>
      <c r="I18" s="2">
        <f t="shared" si="0"/>
        <v>6.6754896619606825</v>
      </c>
      <c r="J18" s="2">
        <f t="shared" si="1"/>
        <v>6.7132525222163126</v>
      </c>
      <c r="K18" s="2">
        <f t="shared" si="2"/>
        <v>295.26748971193416</v>
      </c>
      <c r="L18" s="2">
        <f t="shared" si="6"/>
        <v>206.8349800872426</v>
      </c>
      <c r="M18" s="2">
        <f t="shared" si="3"/>
        <v>128.93808008724261</v>
      </c>
      <c r="N18" s="2">
        <f t="shared" si="4"/>
        <v>1.7073170731707317</v>
      </c>
    </row>
    <row r="19" spans="1:14" x14ac:dyDescent="0.25">
      <c r="A19">
        <v>18</v>
      </c>
      <c r="B19" t="s">
        <v>195</v>
      </c>
      <c r="C19">
        <v>44</v>
      </c>
      <c r="D19">
        <v>11</v>
      </c>
      <c r="E19">
        <v>18</v>
      </c>
      <c r="F19">
        <v>70</v>
      </c>
      <c r="G19">
        <v>41</v>
      </c>
      <c r="H19">
        <v>80</v>
      </c>
      <c r="I19" s="2">
        <f t="shared" si="0"/>
        <v>3.8824722056015801</v>
      </c>
      <c r="J19" s="2">
        <f t="shared" si="1"/>
        <v>3.9263672763146737</v>
      </c>
      <c r="K19" s="2">
        <f t="shared" si="2"/>
        <v>155.26748971193416</v>
      </c>
      <c r="L19" s="2">
        <f t="shared" si="6"/>
        <v>66.187193627917637</v>
      </c>
      <c r="M19" s="2">
        <f t="shared" si="3"/>
        <v>28.291093627917633</v>
      </c>
      <c r="N19" s="2">
        <f t="shared" si="4"/>
        <v>1.7073170731707317</v>
      </c>
    </row>
    <row r="20" spans="1:14" x14ac:dyDescent="0.25">
      <c r="A20">
        <v>19</v>
      </c>
      <c r="B20" t="s">
        <v>181</v>
      </c>
      <c r="C20">
        <v>90</v>
      </c>
      <c r="D20">
        <v>11</v>
      </c>
      <c r="E20">
        <v>16</v>
      </c>
      <c r="F20">
        <v>82</v>
      </c>
      <c r="G20">
        <v>53</v>
      </c>
      <c r="H20">
        <v>171</v>
      </c>
      <c r="I20" s="2">
        <f t="shared" si="0"/>
        <v>6.0897800230145691</v>
      </c>
      <c r="J20" s="2">
        <f t="shared" si="1"/>
        <v>6.0066754915335228</v>
      </c>
      <c r="K20" s="2">
        <f t="shared" si="2"/>
        <v>270.26748971193416</v>
      </c>
      <c r="L20" s="2">
        <f t="shared" si="6"/>
        <v>141.47512637967392</v>
      </c>
      <c r="M20" s="2">
        <f t="shared" si="3"/>
        <v>70.721226379673922</v>
      </c>
      <c r="N20" s="2">
        <f t="shared" si="4"/>
        <v>1.5471698113207548</v>
      </c>
    </row>
    <row r="21" spans="1:14" x14ac:dyDescent="0.25">
      <c r="A21">
        <v>20</v>
      </c>
      <c r="B21" t="s">
        <v>196</v>
      </c>
      <c r="C21">
        <v>60</v>
      </c>
      <c r="D21">
        <v>11</v>
      </c>
      <c r="E21">
        <v>16</v>
      </c>
      <c r="F21">
        <v>82</v>
      </c>
      <c r="G21">
        <v>53</v>
      </c>
      <c r="H21">
        <v>80</v>
      </c>
      <c r="I21" s="2">
        <f t="shared" si="0"/>
        <v>4.5935206713936214</v>
      </c>
      <c r="J21" s="2">
        <f t="shared" si="1"/>
        <v>4.5148722128449981</v>
      </c>
      <c r="K21" s="2">
        <f t="shared" si="2"/>
        <v>195.26748971193416</v>
      </c>
      <c r="L21" s="2">
        <f t="shared" si="6"/>
        <v>66.187193627917637</v>
      </c>
      <c r="M21" s="2">
        <f t="shared" si="3"/>
        <v>16.86229362791763</v>
      </c>
      <c r="N21" s="2">
        <f t="shared" si="4"/>
        <v>1.5471698113207548</v>
      </c>
    </row>
    <row r="22" spans="1:14" x14ac:dyDescent="0.25">
      <c r="A22">
        <v>21</v>
      </c>
      <c r="B22" t="s">
        <v>182</v>
      </c>
      <c r="C22">
        <v>96</v>
      </c>
      <c r="D22">
        <v>4</v>
      </c>
      <c r="E22">
        <v>5</v>
      </c>
      <c r="F22">
        <v>25</v>
      </c>
      <c r="G22">
        <v>13</v>
      </c>
      <c r="H22">
        <v>270</v>
      </c>
      <c r="I22" s="2">
        <f t="shared" ref="I22:I42" si="7">(C22/20.05)+(D22/12.15)+(E22/23)</f>
        <v>5.3346393365307438</v>
      </c>
      <c r="J22" s="2">
        <f t="shared" ref="J22:J42" si="8">(H22/61)+(F22/48)+(G22/35.45)</f>
        <v>5.3137765227712395</v>
      </c>
      <c r="K22" s="2">
        <f t="shared" ref="K22:K42" si="9">((C22/20)+(D22/12.15))*50</f>
        <v>256.46090534979425</v>
      </c>
      <c r="L22" s="2">
        <f t="shared" si="6"/>
        <v>223.38177849422203</v>
      </c>
      <c r="M22" s="2">
        <f t="shared" ref="M22:M42" si="10">(L22-((C22*0.7143)+(D22*0.5879)))</f>
        <v>152.45737849422204</v>
      </c>
      <c r="N22" s="2">
        <f t="shared" ref="N22:N42" si="11">IF(G22&lt;=0,0,F22/G22)</f>
        <v>1.9230769230769231</v>
      </c>
    </row>
    <row r="23" spans="1:14" x14ac:dyDescent="0.25">
      <c r="A23">
        <v>22</v>
      </c>
      <c r="B23" t="s">
        <v>197</v>
      </c>
      <c r="C23">
        <v>34</v>
      </c>
      <c r="D23">
        <v>4</v>
      </c>
      <c r="E23">
        <v>5</v>
      </c>
      <c r="F23">
        <v>25</v>
      </c>
      <c r="G23">
        <v>13</v>
      </c>
      <c r="H23">
        <v>80</v>
      </c>
      <c r="I23" s="2">
        <f t="shared" si="7"/>
        <v>2.2423700098474515</v>
      </c>
      <c r="J23" s="2">
        <f t="shared" si="8"/>
        <v>2.1990224244105834</v>
      </c>
      <c r="K23" s="2">
        <f t="shared" si="9"/>
        <v>101.46090534979425</v>
      </c>
      <c r="L23" s="2">
        <f t="shared" ref="L23:L42" si="12">H23*(50/61)*(1+(2*10^-2.33))</f>
        <v>66.187193627917637</v>
      </c>
      <c r="M23" s="2">
        <f t="shared" si="10"/>
        <v>39.549393627917638</v>
      </c>
      <c r="N23" s="2">
        <f t="shared" si="11"/>
        <v>1.9230769230769231</v>
      </c>
    </row>
    <row r="24" spans="1:14" x14ac:dyDescent="0.25">
      <c r="A24">
        <v>23</v>
      </c>
      <c r="B24" t="s">
        <v>183</v>
      </c>
      <c r="C24">
        <v>82</v>
      </c>
      <c r="D24">
        <v>10</v>
      </c>
      <c r="E24">
        <v>6</v>
      </c>
      <c r="F24">
        <v>32</v>
      </c>
      <c r="G24">
        <v>17</v>
      </c>
      <c r="H24">
        <v>245</v>
      </c>
      <c r="I24" s="2">
        <f t="shared" si="7"/>
        <v>5.1736903938043604</v>
      </c>
      <c r="J24" s="2">
        <f t="shared" si="8"/>
        <v>5.162608769374244</v>
      </c>
      <c r="K24" s="2">
        <f t="shared" si="9"/>
        <v>246.15226337448556</v>
      </c>
      <c r="L24" s="2">
        <f t="shared" si="12"/>
        <v>202.69828048549775</v>
      </c>
      <c r="M24" s="2">
        <f t="shared" si="10"/>
        <v>138.24668048549773</v>
      </c>
      <c r="N24" s="2">
        <f t="shared" si="11"/>
        <v>1.8823529411764706</v>
      </c>
    </row>
    <row r="25" spans="1:14" x14ac:dyDescent="0.25">
      <c r="A25">
        <v>24</v>
      </c>
      <c r="B25" t="s">
        <v>198</v>
      </c>
      <c r="C25">
        <v>28</v>
      </c>
      <c r="D25">
        <v>10</v>
      </c>
      <c r="E25">
        <v>6</v>
      </c>
      <c r="F25">
        <v>32</v>
      </c>
      <c r="G25">
        <v>17</v>
      </c>
      <c r="H25">
        <v>80</v>
      </c>
      <c r="I25" s="2">
        <f t="shared" si="7"/>
        <v>2.4804235608866541</v>
      </c>
      <c r="J25" s="2">
        <f t="shared" si="8"/>
        <v>2.4576907365873586</v>
      </c>
      <c r="K25" s="2">
        <f t="shared" si="9"/>
        <v>111.1522633744856</v>
      </c>
      <c r="L25" s="2">
        <f t="shared" si="12"/>
        <v>66.187193627917637</v>
      </c>
      <c r="M25" s="2">
        <f t="shared" si="10"/>
        <v>40.307793627917633</v>
      </c>
      <c r="N25" s="2">
        <f t="shared" si="11"/>
        <v>1.8823529411764706</v>
      </c>
    </row>
    <row r="26" spans="1:14" x14ac:dyDescent="0.25">
      <c r="A26">
        <v>25</v>
      </c>
      <c r="B26" t="s">
        <v>184</v>
      </c>
      <c r="C26">
        <v>70</v>
      </c>
      <c r="D26">
        <v>7</v>
      </c>
      <c r="E26">
        <v>7</v>
      </c>
      <c r="F26">
        <v>21</v>
      </c>
      <c r="G26">
        <v>21</v>
      </c>
      <c r="H26">
        <v>205</v>
      </c>
      <c r="I26" s="2">
        <f t="shared" si="7"/>
        <v>4.3717513337786329</v>
      </c>
      <c r="J26" s="2">
        <f t="shared" si="8"/>
        <v>4.3905393766329857</v>
      </c>
      <c r="K26" s="2">
        <f t="shared" si="9"/>
        <v>203.80658436213989</v>
      </c>
      <c r="L26" s="2">
        <f t="shared" si="12"/>
        <v>169.60468367153894</v>
      </c>
      <c r="M26" s="2">
        <f t="shared" si="10"/>
        <v>115.48838367153894</v>
      </c>
      <c r="N26" s="2">
        <f t="shared" si="11"/>
        <v>1</v>
      </c>
    </row>
    <row r="27" spans="1:14" x14ac:dyDescent="0.25">
      <c r="A27">
        <v>26</v>
      </c>
      <c r="B27" t="s">
        <v>199</v>
      </c>
      <c r="C27">
        <v>29</v>
      </c>
      <c r="D27">
        <v>7</v>
      </c>
      <c r="E27">
        <v>7</v>
      </c>
      <c r="F27">
        <v>21</v>
      </c>
      <c r="G27">
        <v>21</v>
      </c>
      <c r="H27">
        <v>80</v>
      </c>
      <c r="I27" s="2">
        <f t="shared" si="7"/>
        <v>2.3268635532300039</v>
      </c>
      <c r="J27" s="2">
        <f t="shared" si="8"/>
        <v>2.3413590487641329</v>
      </c>
      <c r="K27" s="2">
        <f t="shared" si="9"/>
        <v>101.3065843621399</v>
      </c>
      <c r="L27" s="2">
        <f t="shared" si="12"/>
        <v>66.187193627917637</v>
      </c>
      <c r="M27" s="2">
        <f t="shared" si="10"/>
        <v>41.357193627917638</v>
      </c>
      <c r="N27" s="2">
        <f t="shared" si="11"/>
        <v>1</v>
      </c>
    </row>
    <row r="28" spans="1:14" x14ac:dyDescent="0.25">
      <c r="A28">
        <v>27</v>
      </c>
      <c r="B28" t="s">
        <v>31</v>
      </c>
      <c r="C28">
        <v>140</v>
      </c>
      <c r="D28">
        <v>18</v>
      </c>
      <c r="E28">
        <v>25</v>
      </c>
      <c r="F28">
        <v>300</v>
      </c>
      <c r="G28">
        <v>55</v>
      </c>
      <c r="H28">
        <v>110</v>
      </c>
      <c r="I28" s="2">
        <f t="shared" si="7"/>
        <v>9.5509816441183677</v>
      </c>
      <c r="J28" s="2">
        <f t="shared" si="8"/>
        <v>9.6047596476219113</v>
      </c>
      <c r="K28" s="2">
        <f t="shared" si="9"/>
        <v>424.07407407407402</v>
      </c>
      <c r="L28" s="2">
        <f t="shared" si="12"/>
        <v>91.007391238386759</v>
      </c>
      <c r="M28" s="2">
        <f t="shared" si="10"/>
        <v>-19.57680876161325</v>
      </c>
      <c r="N28" s="2">
        <f t="shared" si="11"/>
        <v>5.4545454545454541</v>
      </c>
    </row>
    <row r="29" spans="1:14" x14ac:dyDescent="0.25">
      <c r="A29">
        <v>28</v>
      </c>
      <c r="B29" t="s">
        <v>364</v>
      </c>
      <c r="C29">
        <v>50</v>
      </c>
      <c r="D29">
        <v>0</v>
      </c>
      <c r="E29">
        <v>20</v>
      </c>
      <c r="F29">
        <v>40</v>
      </c>
      <c r="G29">
        <v>65</v>
      </c>
      <c r="H29">
        <v>45</v>
      </c>
      <c r="I29" s="2">
        <f t="shared" si="7"/>
        <v>3.363330803426217</v>
      </c>
      <c r="J29" s="2">
        <f t="shared" si="8"/>
        <v>3.4046066575720442</v>
      </c>
      <c r="K29" s="2">
        <f t="shared" si="9"/>
        <v>125</v>
      </c>
      <c r="L29" s="2">
        <f t="shared" si="12"/>
        <v>37.23029641570367</v>
      </c>
      <c r="M29" s="2">
        <f t="shared" si="10"/>
        <v>1.5152964157036664</v>
      </c>
      <c r="N29" s="2">
        <f t="shared" si="11"/>
        <v>0.61538461538461542</v>
      </c>
    </row>
    <row r="30" spans="1:14" x14ac:dyDescent="0.25">
      <c r="A30">
        <v>29</v>
      </c>
      <c r="B30" t="s">
        <v>185</v>
      </c>
      <c r="C30">
        <v>50</v>
      </c>
      <c r="D30">
        <v>5</v>
      </c>
      <c r="E30">
        <v>5</v>
      </c>
      <c r="F30">
        <v>55</v>
      </c>
      <c r="G30">
        <v>70</v>
      </c>
      <c r="H30">
        <v>0</v>
      </c>
      <c r="I30" s="2">
        <f t="shared" si="7"/>
        <v>3.1226795241275949</v>
      </c>
      <c r="J30" s="2">
        <f t="shared" si="8"/>
        <v>3.1204454630935587</v>
      </c>
      <c r="K30" s="2">
        <f t="shared" si="9"/>
        <v>145.57613168724279</v>
      </c>
      <c r="L30" s="2">
        <f t="shared" si="12"/>
        <v>0</v>
      </c>
      <c r="M30" s="2">
        <f t="shared" si="10"/>
        <v>-38.654500000000006</v>
      </c>
      <c r="N30" s="2">
        <f t="shared" si="11"/>
        <v>0.7857142857142857</v>
      </c>
    </row>
    <row r="31" spans="1:14" x14ac:dyDescent="0.25">
      <c r="A31">
        <v>30</v>
      </c>
      <c r="B31" t="s">
        <v>365</v>
      </c>
      <c r="C31">
        <v>50</v>
      </c>
      <c r="D31">
        <v>5</v>
      </c>
      <c r="E31">
        <v>5</v>
      </c>
      <c r="F31">
        <v>55</v>
      </c>
      <c r="G31">
        <v>70</v>
      </c>
      <c r="H31">
        <v>0</v>
      </c>
      <c r="I31" s="2">
        <f t="shared" si="7"/>
        <v>3.1226795241275949</v>
      </c>
      <c r="J31" s="2">
        <f t="shared" si="8"/>
        <v>3.1204454630935587</v>
      </c>
      <c r="K31" s="2">
        <f t="shared" si="9"/>
        <v>145.57613168724279</v>
      </c>
      <c r="L31" s="2">
        <f t="shared" si="12"/>
        <v>0</v>
      </c>
      <c r="M31" s="2">
        <f t="shared" si="10"/>
        <v>-38.654500000000006</v>
      </c>
      <c r="N31" s="2">
        <f t="shared" si="11"/>
        <v>0.7857142857142857</v>
      </c>
    </row>
    <row r="32" spans="1:14" x14ac:dyDescent="0.25">
      <c r="A32">
        <v>31</v>
      </c>
      <c r="B32" t="s">
        <v>366</v>
      </c>
      <c r="C32">
        <v>50</v>
      </c>
      <c r="D32">
        <v>7</v>
      </c>
      <c r="E32">
        <v>5</v>
      </c>
      <c r="F32">
        <v>75</v>
      </c>
      <c r="G32">
        <v>60</v>
      </c>
      <c r="H32">
        <v>0</v>
      </c>
      <c r="I32" s="2">
        <f t="shared" si="7"/>
        <v>3.2872885776255374</v>
      </c>
      <c r="J32" s="2">
        <f t="shared" si="8"/>
        <v>3.255024682651622</v>
      </c>
      <c r="K32" s="2">
        <f t="shared" si="9"/>
        <v>153.80658436213992</v>
      </c>
      <c r="L32" s="2">
        <f t="shared" si="12"/>
        <v>0</v>
      </c>
      <c r="M32" s="2">
        <f t="shared" si="10"/>
        <v>-39.830300000000001</v>
      </c>
      <c r="N32" s="2">
        <f t="shared" si="11"/>
        <v>1.25</v>
      </c>
    </row>
    <row r="33" spans="1:14" x14ac:dyDescent="0.25">
      <c r="A33">
        <v>32</v>
      </c>
      <c r="B33" t="s">
        <v>367</v>
      </c>
      <c r="C33">
        <v>50</v>
      </c>
      <c r="D33">
        <v>10</v>
      </c>
      <c r="E33">
        <v>5</v>
      </c>
      <c r="F33">
        <v>105</v>
      </c>
      <c r="G33">
        <v>45</v>
      </c>
      <c r="H33">
        <v>0</v>
      </c>
      <c r="I33" s="2">
        <f t="shared" si="7"/>
        <v>3.5342021578724507</v>
      </c>
      <c r="J33" s="2">
        <f t="shared" si="8"/>
        <v>3.4568935119887163</v>
      </c>
      <c r="K33" s="2">
        <f t="shared" si="9"/>
        <v>166.15226337448559</v>
      </c>
      <c r="L33" s="2">
        <f t="shared" si="12"/>
        <v>0</v>
      </c>
      <c r="M33" s="2">
        <f t="shared" si="10"/>
        <v>-41.594000000000001</v>
      </c>
      <c r="N33" s="2">
        <f t="shared" si="11"/>
        <v>2.3333333333333335</v>
      </c>
    </row>
    <row r="34" spans="1:14" x14ac:dyDescent="0.25">
      <c r="A34">
        <v>33</v>
      </c>
      <c r="B34" t="s">
        <v>368</v>
      </c>
      <c r="C34">
        <v>50</v>
      </c>
      <c r="D34">
        <v>5</v>
      </c>
      <c r="E34">
        <v>15</v>
      </c>
      <c r="F34">
        <v>55</v>
      </c>
      <c r="G34">
        <v>65</v>
      </c>
      <c r="H34">
        <v>35</v>
      </c>
      <c r="I34" s="2">
        <f t="shared" si="7"/>
        <v>3.5574621328232467</v>
      </c>
      <c r="J34" s="2">
        <f t="shared" si="8"/>
        <v>3.5531722313425353</v>
      </c>
      <c r="K34" s="2">
        <f t="shared" si="9"/>
        <v>145.57613168724279</v>
      </c>
      <c r="L34" s="2">
        <f t="shared" si="12"/>
        <v>28.956897212213967</v>
      </c>
      <c r="M34" s="2">
        <f t="shared" si="10"/>
        <v>-9.6976027877860389</v>
      </c>
      <c r="N34" s="2">
        <f t="shared" si="11"/>
        <v>0.84615384615384615</v>
      </c>
    </row>
    <row r="35" spans="1:14" x14ac:dyDescent="0.25">
      <c r="A35">
        <v>34</v>
      </c>
      <c r="B35" t="s">
        <v>369</v>
      </c>
      <c r="C35">
        <v>50</v>
      </c>
      <c r="D35">
        <v>10</v>
      </c>
      <c r="E35">
        <v>15</v>
      </c>
      <c r="F35">
        <v>75</v>
      </c>
      <c r="G35">
        <v>63</v>
      </c>
      <c r="H35">
        <v>40</v>
      </c>
      <c r="I35" s="2">
        <f t="shared" si="7"/>
        <v>3.9689847665681031</v>
      </c>
      <c r="J35" s="2">
        <f t="shared" si="8"/>
        <v>3.9953886217022356</v>
      </c>
      <c r="K35" s="2">
        <f t="shared" si="9"/>
        <v>166.15226337448559</v>
      </c>
      <c r="L35" s="2">
        <f t="shared" si="12"/>
        <v>33.093596813958818</v>
      </c>
      <c r="M35" s="2">
        <f t="shared" si="10"/>
        <v>-8.5004031860411828</v>
      </c>
      <c r="N35" s="2">
        <f t="shared" si="11"/>
        <v>1.1904761904761905</v>
      </c>
    </row>
    <row r="36" spans="1:14" x14ac:dyDescent="0.25">
      <c r="A36">
        <v>35</v>
      </c>
      <c r="B36" t="s">
        <v>370</v>
      </c>
      <c r="C36">
        <v>50</v>
      </c>
      <c r="D36">
        <v>15</v>
      </c>
      <c r="E36">
        <v>15</v>
      </c>
      <c r="F36">
        <v>110</v>
      </c>
      <c r="G36">
        <v>50</v>
      </c>
      <c r="H36">
        <v>45</v>
      </c>
      <c r="I36" s="2">
        <f t="shared" si="7"/>
        <v>4.3805074003129594</v>
      </c>
      <c r="J36" s="2">
        <f t="shared" si="8"/>
        <v>4.4398088202424715</v>
      </c>
      <c r="K36" s="2">
        <f t="shared" si="9"/>
        <v>186.72839506172841</v>
      </c>
      <c r="L36" s="2">
        <f t="shared" si="12"/>
        <v>37.23029641570367</v>
      </c>
      <c r="M36" s="2">
        <f t="shared" si="10"/>
        <v>-7.3032035842963339</v>
      </c>
      <c r="N36" s="2">
        <f t="shared" si="11"/>
        <v>2.2000000000000002</v>
      </c>
    </row>
    <row r="37" spans="1:14" x14ac:dyDescent="0.25">
      <c r="A37">
        <v>36</v>
      </c>
      <c r="B37" t="s">
        <v>371</v>
      </c>
      <c r="C37">
        <v>50</v>
      </c>
      <c r="D37">
        <v>5</v>
      </c>
      <c r="E37">
        <v>27</v>
      </c>
      <c r="F37">
        <v>50</v>
      </c>
      <c r="G37">
        <v>60</v>
      </c>
      <c r="H37">
        <v>85</v>
      </c>
      <c r="I37" s="2">
        <f t="shared" si="7"/>
        <v>4.0792012632580299</v>
      </c>
      <c r="J37" s="2">
        <f t="shared" si="8"/>
        <v>4.1276339722691082</v>
      </c>
      <c r="K37" s="2">
        <f t="shared" si="9"/>
        <v>145.57613168724279</v>
      </c>
      <c r="L37" s="2">
        <f t="shared" si="12"/>
        <v>70.323893229662488</v>
      </c>
      <c r="M37" s="2">
        <f t="shared" si="10"/>
        <v>31.669393229662482</v>
      </c>
      <c r="N37" s="2">
        <f t="shared" si="11"/>
        <v>0.83333333333333337</v>
      </c>
    </row>
    <row r="38" spans="1:14" x14ac:dyDescent="0.25">
      <c r="A38">
        <v>37</v>
      </c>
      <c r="B38" t="s">
        <v>372</v>
      </c>
      <c r="C38">
        <v>50</v>
      </c>
      <c r="D38">
        <v>10</v>
      </c>
      <c r="E38">
        <v>27</v>
      </c>
      <c r="F38">
        <v>70</v>
      </c>
      <c r="G38">
        <v>55</v>
      </c>
      <c r="H38">
        <v>90</v>
      </c>
      <c r="I38" s="2">
        <f t="shared" si="7"/>
        <v>4.4907238970028853</v>
      </c>
      <c r="J38" s="2">
        <f t="shared" si="8"/>
        <v>4.4852241284962275</v>
      </c>
      <c r="K38" s="2">
        <f t="shared" si="9"/>
        <v>166.15226337448559</v>
      </c>
      <c r="L38" s="2">
        <f t="shared" si="12"/>
        <v>74.46059283140734</v>
      </c>
      <c r="M38" s="2">
        <f t="shared" si="10"/>
        <v>32.866592831407338</v>
      </c>
      <c r="N38" s="2">
        <f t="shared" si="11"/>
        <v>1.2727272727272727</v>
      </c>
    </row>
    <row r="39" spans="1:14" x14ac:dyDescent="0.25">
      <c r="A39">
        <v>38</v>
      </c>
      <c r="B39" t="s">
        <v>373</v>
      </c>
      <c r="C39">
        <v>50</v>
      </c>
      <c r="D39">
        <v>15</v>
      </c>
      <c r="E39">
        <v>27</v>
      </c>
      <c r="F39">
        <v>99</v>
      </c>
      <c r="G39">
        <v>45</v>
      </c>
      <c r="H39">
        <v>95</v>
      </c>
      <c r="I39" s="2">
        <f t="shared" si="7"/>
        <v>4.9022465307477416</v>
      </c>
      <c r="J39" s="2">
        <f t="shared" si="8"/>
        <v>4.8892705611690443</v>
      </c>
      <c r="K39" s="2">
        <f t="shared" si="9"/>
        <v>186.72839506172841</v>
      </c>
      <c r="L39" s="2">
        <f t="shared" si="12"/>
        <v>78.597292433152191</v>
      </c>
      <c r="M39" s="2">
        <f t="shared" si="10"/>
        <v>34.063792433152187</v>
      </c>
      <c r="N39" s="2">
        <f t="shared" si="11"/>
        <v>2.2000000000000002</v>
      </c>
    </row>
    <row r="40" spans="1:14" x14ac:dyDescent="0.25">
      <c r="A40">
        <v>39</v>
      </c>
      <c r="B40" t="s">
        <v>374</v>
      </c>
      <c r="C40">
        <v>50</v>
      </c>
      <c r="D40">
        <v>5</v>
      </c>
      <c r="E40">
        <v>33</v>
      </c>
      <c r="F40">
        <v>35</v>
      </c>
      <c r="G40">
        <v>45</v>
      </c>
      <c r="H40">
        <v>140</v>
      </c>
      <c r="I40" s="2">
        <f t="shared" si="7"/>
        <v>4.3400708284754206</v>
      </c>
      <c r="J40" s="2">
        <f t="shared" si="8"/>
        <v>4.2936421458684979</v>
      </c>
      <c r="K40" s="2">
        <f t="shared" si="9"/>
        <v>145.57613168724279</v>
      </c>
      <c r="L40" s="2">
        <f t="shared" si="12"/>
        <v>115.82758884885587</v>
      </c>
      <c r="M40" s="2">
        <f t="shared" si="10"/>
        <v>77.173088848855855</v>
      </c>
      <c r="N40" s="2">
        <f t="shared" si="11"/>
        <v>0.77777777777777779</v>
      </c>
    </row>
    <row r="41" spans="1:14" x14ac:dyDescent="0.25">
      <c r="A41">
        <v>40</v>
      </c>
      <c r="B41" t="s">
        <v>375</v>
      </c>
      <c r="C41">
        <v>50</v>
      </c>
      <c r="D41">
        <v>10</v>
      </c>
      <c r="E41">
        <v>33</v>
      </c>
      <c r="F41">
        <v>57</v>
      </c>
      <c r="G41">
        <v>44</v>
      </c>
      <c r="H41">
        <v>142</v>
      </c>
      <c r="I41" s="2">
        <f t="shared" si="7"/>
        <v>4.7515934622202769</v>
      </c>
      <c r="J41" s="2">
        <f t="shared" si="8"/>
        <v>4.7565536197368719</v>
      </c>
      <c r="K41" s="2">
        <f t="shared" si="9"/>
        <v>166.15226337448559</v>
      </c>
      <c r="L41" s="2">
        <f t="shared" si="12"/>
        <v>117.48226868955381</v>
      </c>
      <c r="M41" s="2">
        <f t="shared" si="10"/>
        <v>75.888268689553797</v>
      </c>
      <c r="N41" s="2">
        <f t="shared" si="11"/>
        <v>1.2954545454545454</v>
      </c>
    </row>
    <row r="42" spans="1:14" x14ac:dyDescent="0.25">
      <c r="A42">
        <v>41</v>
      </c>
      <c r="B42" t="s">
        <v>376</v>
      </c>
      <c r="C42">
        <v>50</v>
      </c>
      <c r="D42">
        <v>15</v>
      </c>
      <c r="E42">
        <v>33</v>
      </c>
      <c r="F42">
        <v>84</v>
      </c>
      <c r="G42">
        <v>39</v>
      </c>
      <c r="H42">
        <v>145</v>
      </c>
      <c r="I42" s="2">
        <f t="shared" si="7"/>
        <v>5.1631160959651332</v>
      </c>
      <c r="J42" s="2">
        <f t="shared" si="8"/>
        <v>5.2271902240514239</v>
      </c>
      <c r="K42" s="2">
        <f t="shared" si="9"/>
        <v>186.72839506172841</v>
      </c>
      <c r="L42" s="2">
        <f t="shared" si="12"/>
        <v>119.96428845060071</v>
      </c>
      <c r="M42" s="2">
        <f t="shared" si="10"/>
        <v>75.430788450600701</v>
      </c>
      <c r="N42" s="2">
        <f t="shared" si="11"/>
        <v>2.1538461538461537</v>
      </c>
    </row>
    <row r="43" spans="1:14" x14ac:dyDescent="0.25">
      <c r="I43" s="2">
        <f>(C43/20.05)+(D43/12.15)+(E43/23)</f>
        <v>0</v>
      </c>
      <c r="J43" s="2">
        <f>(H43/61)+(F43/48)+(G43/35.45)</f>
        <v>0</v>
      </c>
      <c r="K43" s="2">
        <f>((C43/20)+(D43/12.15))*50</f>
        <v>0</v>
      </c>
      <c r="L43" s="2">
        <f>H43*(50/61)*(1+(2*10^-2.33))</f>
        <v>0</v>
      </c>
      <c r="M43" s="2">
        <f>(L43-((C43*0.7143)+(D43*0.5879)))</f>
        <v>0</v>
      </c>
      <c r="N43" s="2">
        <f>IF(G43&lt;=0,0,F43/G43)</f>
        <v>0</v>
      </c>
    </row>
    <row r="44" spans="1:14" x14ac:dyDescent="0.25">
      <c r="I44" s="2">
        <f>(C44/20.05)+(D44/12.15)+(E44/23)</f>
        <v>0</v>
      </c>
      <c r="J44" s="2">
        <f>(H44/61)+(F44/48)+(G44/35.45)</f>
        <v>0</v>
      </c>
      <c r="K44" s="2">
        <f>((C44/20)+(D44/12.15))*50</f>
        <v>0</v>
      </c>
      <c r="L44" s="2">
        <f>H44*(50/61)*(1+(2*10^-2.33))</f>
        <v>0</v>
      </c>
      <c r="M44" s="2">
        <f>(L44-((C44*0.7143)+(D44*0.5879)))</f>
        <v>0</v>
      </c>
      <c r="N44" s="2">
        <f>IF(G44&lt;=0,0,F44/G44)</f>
        <v>0</v>
      </c>
    </row>
    <row r="49" spans="1:14" ht="28.5" x14ac:dyDescent="0.25">
      <c r="A49" s="147" t="s">
        <v>351</v>
      </c>
      <c r="B49" s="149" t="s">
        <v>186</v>
      </c>
      <c r="C49" s="81" t="s">
        <v>234</v>
      </c>
      <c r="D49" s="81" t="s">
        <v>235</v>
      </c>
      <c r="E49" s="81" t="s">
        <v>236</v>
      </c>
      <c r="F49" s="81" t="s">
        <v>237</v>
      </c>
      <c r="G49" s="81" t="s">
        <v>238</v>
      </c>
      <c r="H49" s="81" t="s">
        <v>239</v>
      </c>
      <c r="I49" s="148" t="s">
        <v>187</v>
      </c>
      <c r="J49" s="148" t="s">
        <v>188</v>
      </c>
      <c r="K49" s="81" t="s">
        <v>240</v>
      </c>
      <c r="L49" s="81" t="s">
        <v>270</v>
      </c>
      <c r="M49" s="81" t="s">
        <v>241</v>
      </c>
      <c r="N49" s="81" t="s">
        <v>242</v>
      </c>
    </row>
    <row r="50" spans="1:14" x14ac:dyDescent="0.25">
      <c r="A50">
        <v>1</v>
      </c>
      <c r="B50" t="s">
        <v>292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 s="2">
        <f>(C50/20.05)+(D50/12.15)+(E50/23)</f>
        <v>0</v>
      </c>
      <c r="J50" s="2">
        <f>(H50/61)+(F50/48)+(G50/35.45)</f>
        <v>0</v>
      </c>
      <c r="K50" s="170">
        <f>((C50/20)+(D50/12.15))*50</f>
        <v>0</v>
      </c>
      <c r="L50" s="170">
        <f>H50*(50/61)*(1+(2*10^-2.33))</f>
        <v>0</v>
      </c>
      <c r="M50" s="170">
        <f>(L50-((C50*0.7143)+(D50*0.5879)))</f>
        <v>0</v>
      </c>
      <c r="N50" s="170">
        <f>IF(F50&lt;=0,0,F50/G50)</f>
        <v>0</v>
      </c>
    </row>
    <row r="51" spans="1:14" x14ac:dyDescent="0.25">
      <c r="A51">
        <v>2</v>
      </c>
      <c r="B51" t="s">
        <v>290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 s="2">
        <f>(C51/20.05)+(D51/12.15)+(E51/23)</f>
        <v>0</v>
      </c>
      <c r="J51" s="2">
        <f>(H51/61)+(F51/48)+(G51/35.45)</f>
        <v>0</v>
      </c>
      <c r="K51" s="2">
        <f>((C51/20)+(D51/12.15))*50</f>
        <v>0</v>
      </c>
      <c r="L51" s="2">
        <f>H51*(50/61)*(1+(2*10^-2.33))</f>
        <v>0</v>
      </c>
      <c r="M51" s="2">
        <f>(L51-((C51*0.7143)+(D51*0.5879)))</f>
        <v>0</v>
      </c>
      <c r="N51" s="2">
        <f>IF(F51&lt;=0,0,F51/G51)</f>
        <v>0</v>
      </c>
    </row>
    <row r="52" spans="1:14" x14ac:dyDescent="0.25">
      <c r="A52">
        <v>3</v>
      </c>
      <c r="B52" t="s">
        <v>291</v>
      </c>
      <c r="C52">
        <v>1</v>
      </c>
      <c r="D52">
        <v>0</v>
      </c>
      <c r="E52">
        <v>8</v>
      </c>
      <c r="F52">
        <v>1</v>
      </c>
      <c r="G52">
        <v>4</v>
      </c>
      <c r="H52">
        <v>16</v>
      </c>
      <c r="I52" s="2">
        <f>(C52/20.05)+(D52/12.15)+(E52/23)</f>
        <v>0.39770139867721999</v>
      </c>
      <c r="J52" s="2">
        <f>(H52/61)+(F52/48)+(G52/35.45)</f>
        <v>0.3959633941439879</v>
      </c>
      <c r="K52" s="2">
        <f>((C52/20)+(D52/12.15))*50</f>
        <v>2.5</v>
      </c>
      <c r="L52" s="2">
        <f>H52*(50/61)*(1+(2*10^-2.33))</f>
        <v>13.237438725583527</v>
      </c>
      <c r="M52" s="2">
        <f>(L52-((C52*0.7143)+(D52*0.5879)))</f>
        <v>12.523138725583527</v>
      </c>
      <c r="N52" s="2">
        <f>IF(F52&lt;=0,0,F52/G52)</f>
        <v>0.25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12</vt:i4>
      </vt:variant>
    </vt:vector>
  </HeadingPairs>
  <TitlesOfParts>
    <vt:vector size="22" baseType="lpstr">
      <vt:lpstr>Hoja de Cocción</vt:lpstr>
      <vt:lpstr>Informe</vt:lpstr>
      <vt:lpstr>Receta</vt:lpstr>
      <vt:lpstr>Informe Agua</vt:lpstr>
      <vt:lpstr>Agua de Lavado</vt:lpstr>
      <vt:lpstr>Modificacion Agua</vt:lpstr>
      <vt:lpstr>Informe Modf. Agua</vt:lpstr>
      <vt:lpstr>Gráfico</vt:lpstr>
      <vt:lpstr>Aguas del Mundo</vt:lpstr>
      <vt:lpstr>Maltas y Lúpulos</vt:lpstr>
      <vt:lpstr>'Agua de Lavado'!Área_de_impresión</vt:lpstr>
      <vt:lpstr>Gráfico!Área_de_impresión</vt:lpstr>
      <vt:lpstr>'Hoja de Cocción'!Área_de_impresión</vt:lpstr>
      <vt:lpstr>Informe!Área_de_impresión</vt:lpstr>
      <vt:lpstr>'Informe Agua'!Área_de_impresión</vt:lpstr>
      <vt:lpstr>'Informe Modf. Agua'!Área_de_impresión</vt:lpstr>
      <vt:lpstr>Receta!Área_de_impresión</vt:lpstr>
      <vt:lpstr>listaagua</vt:lpstr>
      <vt:lpstr>listdil</vt:lpstr>
      <vt:lpstr>listlupulo</vt:lpstr>
      <vt:lpstr>Malta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Zeppelin</dc:creator>
  <cp:lastModifiedBy>Diego Perrotta</cp:lastModifiedBy>
  <cp:lastPrinted>2018-07-15T19:13:56Z</cp:lastPrinted>
  <dcterms:created xsi:type="dcterms:W3CDTF">2017-10-22T11:52:01Z</dcterms:created>
  <dcterms:modified xsi:type="dcterms:W3CDTF">2020-04-14T22:05:01Z</dcterms:modified>
</cp:coreProperties>
</file>